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tables/table2.xml" ContentType="application/vnd.openxmlformats-officedocument.spreadsheetml.table+xml"/>
  <Override PartName="/xl/comments3.xml" ContentType="application/vnd.openxmlformats-officedocument.spreadsheetml.comments+xml"/>
  <Override PartName="/xl/drawings/drawing7.xml" ContentType="application/vnd.openxmlformats-officedocument.drawing+xml"/>
  <Override PartName="/xl/tables/table3.xml" ContentType="application/vnd.openxmlformats-officedocument.spreadsheetml.table+xml"/>
  <Override PartName="/xl/comments4.xml" ContentType="application/vnd.openxmlformats-officedocument.spreadsheetml.comments+xml"/>
  <Override PartName="/xl/drawings/drawing8.xml" ContentType="application/vnd.openxmlformats-officedocument.drawing+xml"/>
  <Override PartName="/xl/tables/table4.xml" ContentType="application/vnd.openxmlformats-officedocument.spreadsheetml.table+xml"/>
  <Override PartName="/xl/comments5.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Ex1.xml" ContentType="application/vnd.ms-office.chartex+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showInkAnnotation="0" codeName="ThisWorkbook" hidePivotFieldList="1" defaultThemeVersion="124226"/>
  <mc:AlternateContent xmlns:mc="http://schemas.openxmlformats.org/markup-compatibility/2006">
    <mc:Choice Requires="x15">
      <x15ac:absPath xmlns:x15ac="http://schemas.microsoft.com/office/spreadsheetml/2010/11/ac" url="https://aceeeorg.sharepoint.com/sites/Comms/Editorial Management/Projects/Local policy/Kate Tanabe/"/>
    </mc:Choice>
  </mc:AlternateContent>
  <xr:revisionPtr revIDLastSave="0" documentId="8_{8C3F717F-980C-4A05-8A57-EF0B26073486}" xr6:coauthVersionLast="47" xr6:coauthVersionMax="47" xr10:uidLastSave="{00000000-0000-0000-0000-000000000000}"/>
  <bookViews>
    <workbookView xWindow="-28920" yWindow="-120" windowWidth="29040" windowHeight="15840" tabRatio="852" xr2:uid="{00000000-000D-0000-FFFF-FFFF00000000}"/>
  </bookViews>
  <sheets>
    <sheet name="Introduction" sheetId="1" r:id="rId1"/>
    <sheet name="Metric categorization" sheetId="16" r:id="rId2"/>
    <sheet name="GHG per capita data" sheetId="17" r:id="rId3"/>
    <sheet name="Community-wide initiatives" sheetId="3" r:id="rId4"/>
    <sheet name="Buildings policies" sheetId="4" r:id="rId5"/>
    <sheet name="Transportation policies" sheetId="6" r:id="rId6"/>
    <sheet name="Energy and water utilities" sheetId="5" r:id="rId7"/>
    <sheet name="Local government operations" sheetId="2" r:id="rId8"/>
    <sheet name="Analysis" sheetId="7" r:id="rId9"/>
    <sheet name="List of utilities" sheetId="18" r:id="rId10"/>
    <sheet name="Hidden Sheet" sheetId="9" state="hidden" r:id="rId11"/>
    <sheet name="Peer City Scores" sheetId="8" state="hidden" r:id="rId12"/>
  </sheets>
  <definedNames>
    <definedName name="_Hlk85793645" localSheetId="1">'Metric categorization'!$C$10</definedName>
    <definedName name="_xlchart.v1.0" hidden="1">'Hidden Sheet'!$E$257:$E$331</definedName>
    <definedName name="Baseline_emissions_energy_use">'Local government operations'!$C$15</definedName>
    <definedName name="EE_Current_emissions">'Local government operations'!$C$19</definedName>
    <definedName name="EE_recent_year_of_emissions">'Local government operations'!$C$18</definedName>
    <definedName name="Emissions_energy_use_in_above_year">'Local government operations'!$C$17</definedName>
    <definedName name="GHG_adoptionyear_emissions">'Local government operations'!$D$17</definedName>
    <definedName name="GHG_Baseline_data">'Local government operations'!$D$15</definedName>
    <definedName name="GHG_emissions_D18">'Local government operations'!$D$19</definedName>
    <definedName name="GHG_recent_year">'Local government operations'!$D$18</definedName>
    <definedName name="GHG_Yearofadoption">'Local government operations'!$D$16</definedName>
    <definedName name="GHGTarget_percentage">'Local government operations'!$D$14</definedName>
    <definedName name="GHGTargetYear">'Local government operations'!$D$13</definedName>
    <definedName name="Goal_adoption_year_or_most_recent_year_of_available_data">'Local government operations'!$C$16</definedName>
    <definedName name="Nearest_target_year">'Local government operations'!$C$13</definedName>
    <definedName name="_xlnm.Print_Area" localSheetId="7">'Local government operations'!$A$1:$F$77</definedName>
    <definedName name="Reduction_target">'Local government operations'!$C$14</definedName>
    <definedName name="Z_52A26A5D_FD00_480B_943F_DB06B537D6D8_.wvu.PrintArea" localSheetId="7" hidden="1">'Local government operations'!$A$1:$F$77</definedName>
    <definedName name="Z_52A26A5D_FD00_480B_943F_DB06B537D6D8_.wvu.Rows" localSheetId="4" hidden="1">'Buildings policies'!$88:$139</definedName>
    <definedName name="Z_52A26A5D_FD00_480B_943F_DB06B537D6D8_.wvu.Rows" localSheetId="3" hidden="1">'Community-wide initiatives'!$58:$60,'Community-wide initiatives'!$75:$82</definedName>
    <definedName name="Z_52A26A5D_FD00_480B_943F_DB06B537D6D8_.wvu.Rows" localSheetId="6" hidden="1">'Energy and water utilities'!$63:$76,'Energy and water utilities'!$80:$109</definedName>
    <definedName name="Z_52A26A5D_FD00_480B_943F_DB06B537D6D8_.wvu.Rows" localSheetId="7" hidden="1">'Local government operations'!$64:$79,'Local government operations'!$84:$105</definedName>
    <definedName name="Z_52A26A5D_FD00_480B_943F_DB06B537D6D8_.wvu.Rows" localSheetId="5" hidden="1">'Transportation policies'!$70:$74,'Transportation policies'!$87:$125</definedName>
    <definedName name="Z_EF22FA0B_F747_41C1_93DE_56651BBC6020_.wvu.Cols" localSheetId="8" hidden="1">Analysis!$G:$G</definedName>
    <definedName name="Z_EF22FA0B_F747_41C1_93DE_56651BBC6020_.wvu.PrintArea" localSheetId="7" hidden="1">'Local government operations'!$A$1:$F$77</definedName>
    <definedName name="Z_EF22FA0B_F747_41C1_93DE_56651BBC6020_.wvu.Rows" localSheetId="4" hidden="1">'Buildings policies'!$88:$139</definedName>
    <definedName name="Z_EF22FA0B_F747_41C1_93DE_56651BBC6020_.wvu.Rows" localSheetId="3" hidden="1">'Community-wide initiatives'!$58:$60,'Community-wide initiatives'!$75:$82</definedName>
    <definedName name="Z_EF22FA0B_F747_41C1_93DE_56651BBC6020_.wvu.Rows" localSheetId="6" hidden="1">'Energy and water utilities'!$63:$76,'Energy and water utilities'!$80:$109</definedName>
    <definedName name="Z_EF22FA0B_F747_41C1_93DE_56651BBC6020_.wvu.Rows" localSheetId="7" hidden="1">'Local government operations'!$64:$79,'Local government operations'!$84:$105</definedName>
    <definedName name="Z_EF22FA0B_F747_41C1_93DE_56651BBC6020_.wvu.Rows" localSheetId="5" hidden="1">'Transportation policies'!$70:$74,'Transportation policies'!$87:$120,'Transportation policies'!$121:$126</definedName>
  </definedNames>
  <calcPr calcId="191029"/>
  <customWorkbookViews>
    <customWorkbookView name="j" guid="{52A26A5D-FD00-480B-943F-DB06B537D6D8}" maximized="1" xWindow="-8" yWindow="-8" windowWidth="1696" windowHeight="1026" tabRatio="850" activeSheetId="2"/>
    <customWorkbookView name="Elise Marton - Personal View" guid="{EF22FA0B-F747-41C1-93DE-56651BBC6020}" mergeInterval="0" personalView="1" maximized="1" windowWidth="1563" windowHeight="782" tabRatio="852"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4" i="5" l="1"/>
  <c r="B33" i="5"/>
  <c r="B28" i="5"/>
  <c r="B23" i="5"/>
  <c r="B22" i="6"/>
  <c r="B20" i="6"/>
  <c r="B18" i="6"/>
  <c r="B21" i="6"/>
  <c r="B19" i="6"/>
  <c r="B17" i="6"/>
  <c r="B16" i="6"/>
  <c r="B34" i="4"/>
  <c r="B33" i="4"/>
  <c r="B54" i="5"/>
  <c r="B27" i="5"/>
  <c r="B25" i="5"/>
  <c r="B18" i="4"/>
  <c r="E52" i="5"/>
  <c r="B52" i="5" l="1"/>
  <c r="E34" i="4"/>
  <c r="E33" i="4"/>
  <c r="E48" i="5"/>
  <c r="E47" i="5"/>
  <c r="E44" i="4"/>
  <c r="E32" i="4"/>
  <c r="E31" i="4"/>
  <c r="E48" i="2"/>
  <c r="C54" i="5"/>
  <c r="B200" i="9"/>
  <c r="B191" i="9"/>
  <c r="B29" i="5"/>
  <c r="B26" i="5"/>
  <c r="B24" i="5"/>
  <c r="B22" i="5"/>
  <c r="B21" i="5"/>
  <c r="B53" i="5"/>
  <c r="E107" i="7" l="1"/>
  <c r="E55" i="5" l="1"/>
  <c r="E111" i="7" s="1"/>
  <c r="E54" i="5"/>
  <c r="E110" i="7" s="1"/>
  <c r="C191" i="9"/>
  <c r="D191" i="9" s="1"/>
  <c r="E191" i="9" s="1"/>
  <c r="C55" i="5" s="1"/>
  <c r="E81" i="6" l="1"/>
  <c r="E100" i="7" s="1"/>
  <c r="E73" i="6"/>
  <c r="E97" i="7" s="1"/>
  <c r="E72" i="6"/>
  <c r="E71" i="6"/>
  <c r="E67" i="6"/>
  <c r="B9" i="6" s="1"/>
  <c r="E63" i="6"/>
  <c r="E91" i="7" s="1"/>
  <c r="E62" i="6"/>
  <c r="E90" i="7" s="1"/>
  <c r="E60" i="6"/>
  <c r="E88" i="7" s="1"/>
  <c r="E59" i="6"/>
  <c r="E87" i="7" s="1"/>
  <c r="E50" i="6"/>
  <c r="E82" i="7" s="1"/>
  <c r="E48" i="6"/>
  <c r="E49" i="6"/>
  <c r="E47" i="6"/>
  <c r="E37" i="6"/>
  <c r="E73" i="7" s="1"/>
  <c r="E36" i="6"/>
  <c r="E72" i="7" s="1"/>
  <c r="B6" i="6" l="1"/>
  <c r="B10" i="6"/>
  <c r="E60" i="5"/>
  <c r="E59" i="5"/>
  <c r="E58" i="5"/>
  <c r="E106" i="7"/>
  <c r="E42" i="5"/>
  <c r="E41" i="5"/>
  <c r="E34" i="5"/>
  <c r="E37" i="5"/>
  <c r="E36" i="5"/>
  <c r="E27" i="4" l="1"/>
  <c r="E60" i="7" s="1"/>
  <c r="E51" i="3"/>
  <c r="E50" i="3"/>
  <c r="E43" i="3"/>
  <c r="E41" i="3"/>
  <c r="E42" i="3"/>
  <c r="E40" i="3"/>
  <c r="E20" i="4"/>
  <c r="E30" i="3"/>
  <c r="E25" i="3"/>
  <c r="E24" i="3"/>
  <c r="E49" i="2"/>
  <c r="E47" i="2"/>
  <c r="E41" i="2"/>
  <c r="E40" i="2"/>
  <c r="E39" i="2"/>
  <c r="E38" i="2"/>
  <c r="E43" i="2"/>
  <c r="E127" i="7" s="1"/>
  <c r="C200" i="9"/>
  <c r="D200" i="9" s="1"/>
  <c r="E200" i="9" s="1"/>
  <c r="C36" i="6" s="1"/>
  <c r="C35" i="3"/>
  <c r="B8" i="9"/>
  <c r="E199" i="9"/>
  <c r="C199" i="9"/>
  <c r="B199" i="9"/>
  <c r="D199" i="9"/>
  <c r="F199" i="9"/>
  <c r="E125" i="7" l="1"/>
  <c r="E124" i="7"/>
  <c r="E130" i="7"/>
  <c r="B6" i="2"/>
  <c r="E129" i="7"/>
  <c r="E41" i="7"/>
  <c r="E37" i="4"/>
  <c r="E48" i="4"/>
  <c r="E47" i="4"/>
  <c r="E46" i="4"/>
  <c r="E41" i="4"/>
  <c r="E45" i="4"/>
  <c r="C24" i="2"/>
  <c r="G199" i="9"/>
  <c r="E128" i="7" l="1"/>
  <c r="E64" i="7"/>
  <c r="C37" i="6"/>
  <c r="E55" i="4"/>
  <c r="E53" i="4"/>
  <c r="E54" i="4"/>
  <c r="E52" i="4"/>
  <c r="E26" i="4"/>
  <c r="E61" i="7" s="1"/>
  <c r="E18" i="4"/>
  <c r="E19" i="4"/>
  <c r="B7" i="4" l="1"/>
  <c r="E67" i="7"/>
  <c r="E66" i="7"/>
  <c r="C33" i="2"/>
  <c r="C28" i="2"/>
  <c r="C25" i="3"/>
  <c r="B33" i="2"/>
  <c r="E65" i="7" l="1"/>
  <c r="B29" i="2"/>
  <c r="B28" i="2"/>
  <c r="B24" i="2"/>
  <c r="C190" i="7" l="1"/>
  <c r="C186" i="7"/>
  <c r="C187" i="7"/>
  <c r="C189" i="7"/>
  <c r="C188" i="7"/>
  <c r="C191" i="7"/>
  <c r="E21" i="4" l="1"/>
  <c r="E57" i="7" s="1"/>
  <c r="E55" i="7"/>
  <c r="E77" i="6"/>
  <c r="E99" i="7" s="1"/>
  <c r="E98" i="7" s="1"/>
  <c r="E61" i="5"/>
  <c r="E116" i="7" s="1"/>
  <c r="E40" i="4"/>
  <c r="E39" i="4"/>
  <c r="E36" i="4"/>
  <c r="A34" i="4"/>
  <c r="A33" i="4"/>
  <c r="B11" i="6" l="1"/>
  <c r="E53" i="5"/>
  <c r="E109" i="7" s="1"/>
  <c r="E108" i="7" s="1"/>
  <c r="E42" i="2" l="1"/>
  <c r="E126" i="7" s="1"/>
  <c r="E123" i="7" s="1"/>
  <c r="B5" i="2" l="1"/>
  <c r="E45" i="3"/>
  <c r="E44" i="3"/>
  <c r="B5" i="3" l="1"/>
  <c r="E47" i="7"/>
  <c r="E46" i="7" l="1"/>
  <c r="E45" i="7" s="1"/>
  <c r="E79" i="7" l="1"/>
  <c r="E81" i="7"/>
  <c r="E41" i="6" l="1"/>
  <c r="E76" i="7" l="1"/>
  <c r="E34" i="7" l="1"/>
  <c r="B185" i="7" s="1"/>
  <c r="C141" i="7"/>
  <c r="E133" i="7"/>
  <c r="B36" i="5" l="1"/>
  <c r="C35" i="5" l="1"/>
  <c r="H90" i="8" l="1"/>
  <c r="C90" i="8"/>
  <c r="F90" i="8" s="1"/>
  <c r="A239" i="9"/>
  <c r="A238" i="9"/>
  <c r="A237" i="9"/>
  <c r="A236" i="9"/>
  <c r="A235" i="9"/>
  <c r="B188" i="9"/>
  <c r="B186" i="9"/>
  <c r="E8" i="9"/>
  <c r="D8" i="9"/>
  <c r="C8" i="9"/>
  <c r="E96" i="7"/>
  <c r="E61" i="6"/>
  <c r="E55" i="6"/>
  <c r="E85" i="7" s="1"/>
  <c r="E54" i="6"/>
  <c r="C54" i="6"/>
  <c r="E43" i="6"/>
  <c r="E77" i="7" s="1"/>
  <c r="E42" i="6"/>
  <c r="E35" i="6"/>
  <c r="E71" i="7" s="1"/>
  <c r="E34" i="6"/>
  <c r="E70" i="7" s="1"/>
  <c r="E115" i="7"/>
  <c r="E114" i="7"/>
  <c r="E113" i="7"/>
  <c r="E46" i="5"/>
  <c r="E105" i="7" s="1"/>
  <c r="E40" i="5"/>
  <c r="E104" i="7" s="1"/>
  <c r="E35" i="5"/>
  <c r="C34" i="5"/>
  <c r="E33" i="5"/>
  <c r="C33" i="5"/>
  <c r="E43" i="4"/>
  <c r="E42" i="4"/>
  <c r="E38" i="4"/>
  <c r="E35" i="4"/>
  <c r="E25" i="4"/>
  <c r="E56" i="7"/>
  <c r="A18" i="4"/>
  <c r="E17" i="4"/>
  <c r="E54" i="7" s="1"/>
  <c r="E16" i="4"/>
  <c r="E56" i="3"/>
  <c r="E50" i="7" s="1"/>
  <c r="E55" i="3"/>
  <c r="E49" i="3"/>
  <c r="B6" i="3" s="1"/>
  <c r="E36" i="3"/>
  <c r="E35" i="3"/>
  <c r="E40" i="7"/>
  <c r="C30" i="3"/>
  <c r="E33" i="2"/>
  <c r="E121" i="7" s="1"/>
  <c r="E29" i="2"/>
  <c r="E120" i="7" s="1"/>
  <c r="E28" i="2"/>
  <c r="E119" i="7" s="1"/>
  <c r="E24" i="2"/>
  <c r="E122" i="7" s="1"/>
  <c r="E38" i="9"/>
  <c r="C38" i="9"/>
  <c r="B38" i="9"/>
  <c r="D38" i="9"/>
  <c r="F8" i="9"/>
  <c r="B5" i="4" l="1"/>
  <c r="E59" i="7"/>
  <c r="E58" i="7" s="1"/>
  <c r="B6" i="4"/>
  <c r="E58" i="4"/>
  <c r="B3" i="4" s="1"/>
  <c r="E112" i="7"/>
  <c r="E69" i="7"/>
  <c r="E118" i="7"/>
  <c r="E117" i="7" s="1"/>
  <c r="E39" i="7"/>
  <c r="E136" i="7"/>
  <c r="E103" i="7"/>
  <c r="E102" i="7" s="1"/>
  <c r="B4" i="2"/>
  <c r="E51" i="2"/>
  <c r="B3" i="2" s="1"/>
  <c r="E49" i="7"/>
  <c r="E48" i="7" s="1"/>
  <c r="B7" i="3"/>
  <c r="E59" i="3"/>
  <c r="B3" i="3" s="1"/>
  <c r="E89" i="7"/>
  <c r="E86" i="7" s="1"/>
  <c r="B8" i="6"/>
  <c r="E75" i="7"/>
  <c r="E74" i="7" s="1"/>
  <c r="B5" i="6"/>
  <c r="E84" i="7"/>
  <c r="E83" i="7" s="1"/>
  <c r="B7" i="6"/>
  <c r="E83" i="6"/>
  <c r="B3" i="6" s="1"/>
  <c r="B4" i="4"/>
  <c r="E38" i="7"/>
  <c r="B4" i="3"/>
  <c r="B4" i="6"/>
  <c r="E93" i="7"/>
  <c r="E92" i="7" s="1"/>
  <c r="E95" i="7"/>
  <c r="E94" i="7" s="1"/>
  <c r="E80" i="7"/>
  <c r="E78" i="7" s="1"/>
  <c r="A36" i="4"/>
  <c r="B36" i="4" s="1"/>
  <c r="E53" i="7"/>
  <c r="E52" i="7" s="1"/>
  <c r="E42" i="7"/>
  <c r="E44" i="7"/>
  <c r="E43" i="7" s="1"/>
  <c r="E63" i="7"/>
  <c r="E62" i="7" s="1"/>
  <c r="E77" i="5"/>
  <c r="D90" i="8"/>
  <c r="B4" i="5"/>
  <c r="B6" i="5"/>
  <c r="B8" i="5"/>
  <c r="B5" i="5"/>
  <c r="B7" i="5"/>
  <c r="B187" i="9"/>
  <c r="G8" i="9"/>
  <c r="F38" i="9"/>
  <c r="E101" i="7" l="1"/>
  <c r="C146" i="7" s="1"/>
  <c r="E134" i="7"/>
  <c r="E68" i="7"/>
  <c r="C147" i="7" s="1"/>
  <c r="E135" i="7"/>
  <c r="B3" i="5"/>
  <c r="E37" i="7"/>
  <c r="E36" i="7" s="1"/>
  <c r="C143" i="7"/>
  <c r="E51" i="7"/>
  <c r="B187" i="7" s="1"/>
  <c r="C29" i="2"/>
  <c r="G38" i="9"/>
  <c r="B188" i="7" l="1"/>
  <c r="B189" i="7"/>
  <c r="C145" i="7"/>
  <c r="E35" i="7"/>
  <c r="B191" i="7" s="1"/>
  <c r="B186" i="7"/>
  <c r="C144" i="7"/>
  <c r="B190" i="7"/>
  <c r="C36" i="3"/>
  <c r="C142" i="7" l="1"/>
  <c r="E141" i="7" s="1"/>
  <c r="E147" i="7" s="1"/>
  <c r="D141" i="7" l="1"/>
  <c r="D148" i="7" s="1"/>
  <c r="E144" i="7"/>
  <c r="E142" i="7"/>
  <c r="E143" i="7"/>
  <c r="E146" i="7"/>
  <c r="E145" i="7"/>
  <c r="E148" i="7"/>
  <c r="D144" i="7" l="1"/>
  <c r="D142" i="7"/>
  <c r="D145" i="7"/>
  <c r="D147" i="7"/>
  <c r="D146" i="7"/>
  <c r="D143" i="7"/>
  <c r="A99" i="2" l="1"/>
  <c r="A99" i="2"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ACEEE</author>
    <author>Kate Tanabe</author>
    <author>Alexander Jarrah</author>
  </authors>
  <commentList>
    <comment ref="B11" authorId="0" shapeId="0" xr:uid="{00000000-0006-0000-0200-000001000000}">
      <text>
        <r>
          <rPr>
            <b/>
            <sz val="10"/>
            <color rgb="FF000000"/>
            <rFont val="Tahoma"/>
            <family val="2"/>
          </rPr>
          <t>ACEEE:</t>
        </r>
        <r>
          <rPr>
            <sz val="10"/>
            <color rgb="FF000000"/>
            <rFont val="Tahoma"/>
            <family val="2"/>
          </rPr>
          <t xml:space="preserve">
Please enter the nearest target year of your local government's goal. For example, if your local government has goals to reduce energy use by 2030, 2040, and 2050, enter 2030. 
If your community has an annual reduction goal, please contact us at cityscorecard@aceee.org for assistance in calculating the appropriate values.  </t>
        </r>
      </text>
    </comment>
    <comment ref="B12" authorId="0" shapeId="0" xr:uid="{00000000-0006-0000-0200-000002000000}">
      <text>
        <r>
          <rPr>
            <b/>
            <sz val="10"/>
            <color rgb="FF000000"/>
            <rFont val="Tahoma"/>
            <family val="2"/>
          </rPr>
          <t>ACEEE:</t>
        </r>
        <r>
          <rPr>
            <sz val="10"/>
            <color rgb="FF000000"/>
            <rFont val="Tahoma"/>
            <family val="2"/>
          </rPr>
          <t xml:space="preserve">
The formula is set up to calculate a cumulative energy efficiency or greenhouse gas emissions reduction goal. If your local government has a per capita, annual, or energy intensity goal, please contact us at cityscorecard@aceee.org for assistance in calculating the appropriate values.  </t>
        </r>
      </text>
    </comment>
    <comment ref="B13" authorId="1" shapeId="0" xr:uid="{872D7BB0-D059-47C3-9C52-C37D807A5FFD}">
      <text>
        <r>
          <rPr>
            <b/>
            <sz val="10"/>
            <color indexed="81"/>
            <rFont val="Tahoma"/>
            <family val="2"/>
          </rPr>
          <t xml:space="preserve">ACEEE:
</t>
        </r>
        <r>
          <rPr>
            <sz val="10"/>
            <color indexed="81"/>
            <rFont val="Tahoma"/>
            <family val="2"/>
          </rPr>
          <t>For your city's renewable energy goal, please ensure the baseline year data matches the adoption year data.</t>
        </r>
      </text>
    </comment>
    <comment ref="B14" authorId="0" shapeId="0" xr:uid="{00000000-0006-0000-0200-000003000000}">
      <text>
        <r>
          <rPr>
            <b/>
            <sz val="10"/>
            <color rgb="FF000000"/>
            <rFont val="Tahoma"/>
            <family val="2"/>
          </rPr>
          <t>ACEEE:</t>
        </r>
        <r>
          <rPr>
            <sz val="10"/>
            <color rgb="FF000000"/>
            <rFont val="Tahoma"/>
            <family val="2"/>
          </rPr>
          <t xml:space="preserve">
If you don't have energy consumption or GHG emissions data available for the adoption year, then please provide the year closest to the adoption year for which you have available data in either C15, D15, or E15. 
If you have any questions, please contact us at cityscorecard@aceee.org. 
</t>
        </r>
      </text>
    </comment>
    <comment ref="B15" authorId="0" shapeId="0" xr:uid="{00000000-0006-0000-0200-000004000000}">
      <text>
        <r>
          <rPr>
            <b/>
            <sz val="10"/>
            <color rgb="FF000000"/>
            <rFont val="Tahoma"/>
            <family val="2"/>
          </rPr>
          <t>ACEEE:</t>
        </r>
        <r>
          <rPr>
            <sz val="10"/>
            <color rgb="FF000000"/>
            <rFont val="Tahoma"/>
            <family val="2"/>
          </rPr>
          <t xml:space="preserve">
If you don't have energy consumption or GHG emissions data available for the adoption year, then please provide the year nearest the adoption year for which you have available data. The data should be pulled from the year that was entered in C15, D15, or E15. 
For renewable energy generation share, we characterize cities' grid mix using what is considered renewable in their city and/or state. If your city has adopted a carbon-free goal, you should enter the share of electricity that is carbon free. 
If you have any questions, please contact us at cityscorecard@aceee.org. 
</t>
        </r>
      </text>
    </comment>
    <comment ref="B16" authorId="0" shapeId="0" xr:uid="{00000000-0006-0000-0200-000005000000}">
      <text>
        <r>
          <rPr>
            <b/>
            <sz val="10"/>
            <color rgb="FF000000"/>
            <rFont val="Tahoma"/>
            <family val="2"/>
          </rPr>
          <t>ACEEE:</t>
        </r>
        <r>
          <rPr>
            <sz val="10"/>
            <color rgb="FF000000"/>
            <rFont val="Tahoma"/>
            <family val="2"/>
          </rPr>
          <t xml:space="preserve">
</t>
        </r>
        <r>
          <rPr>
            <sz val="10"/>
            <color rgb="FF000000"/>
            <rFont val="Tahoma"/>
            <family val="2"/>
          </rPr>
          <t>The year entered must be more recent than the adoption year or else scoring errors will occur.</t>
        </r>
        <r>
          <rPr>
            <b/>
            <i/>
            <sz val="10"/>
            <color rgb="FF000000"/>
            <rFont val="Tahoma"/>
            <family val="2"/>
          </rPr>
          <t xml:space="preserve">
</t>
        </r>
        <r>
          <rPr>
            <sz val="10"/>
            <color rgb="FF000000"/>
            <rFont val="Tahoma"/>
            <family val="2"/>
          </rPr>
          <t xml:space="preserve">
</t>
        </r>
        <r>
          <rPr>
            <sz val="10"/>
            <color rgb="FF000000"/>
            <rFont val="Tahoma"/>
            <family val="2"/>
          </rPr>
          <t xml:space="preserve">If you have any questions, please contact us at cityscorecard@aceee.org. 
</t>
        </r>
      </text>
    </comment>
    <comment ref="B17" authorId="0" shapeId="0" xr:uid="{00000000-0006-0000-0200-000006000000}">
      <text>
        <r>
          <rPr>
            <b/>
            <sz val="10"/>
            <color indexed="8"/>
            <rFont val="Tahoma"/>
            <family val="2"/>
          </rPr>
          <t>ACEEE:</t>
        </r>
        <r>
          <rPr>
            <sz val="10"/>
            <color indexed="8"/>
            <rFont val="Tahoma"/>
            <family val="2"/>
          </rPr>
          <t xml:space="preserve">
Please enter the GHG emissions data for the year entered in E17. 
If you have any questions, please contact us at cityscorecard@aceee.org. </t>
        </r>
      </text>
    </comment>
    <comment ref="H18" authorId="2" shapeId="0" xr:uid="{3EC2CB6D-B1E1-4F3A-946E-44ACE87CE9E6}">
      <text>
        <r>
          <rPr>
            <b/>
            <sz val="9"/>
            <color indexed="81"/>
            <rFont val="Tahoma"/>
            <family val="2"/>
          </rPr>
          <t xml:space="preserve">ACEEE: 
</t>
        </r>
        <r>
          <rPr>
            <sz val="10"/>
            <color indexed="81"/>
            <rFont val="Tahoma"/>
            <family val="2"/>
          </rPr>
          <t xml:space="preserve">If your adoption year falls on a census year (i.e. 2000, 2010), please use census numbers
</t>
        </r>
      </text>
    </comment>
    <comment ref="B30" authorId="0" shapeId="0" xr:uid="{00000000-0006-0000-0200-000008000000}">
      <text>
        <r>
          <rPr>
            <b/>
            <sz val="10"/>
            <color rgb="FF000000"/>
            <rFont val="Tahoma"/>
            <family val="2"/>
          </rPr>
          <t>ACEEE:</t>
        </r>
        <r>
          <rPr>
            <sz val="10"/>
            <color rgb="FF000000"/>
            <rFont val="Tahoma"/>
            <family val="2"/>
          </rPr>
          <t xml:space="preserve">
</t>
        </r>
        <r>
          <rPr>
            <sz val="10"/>
            <color rgb="FF000000"/>
            <rFont val="Tahoma"/>
            <family val="2"/>
          </rPr>
          <t xml:space="preserve">To calculate stringency, we determined the average annual energy or GHG emissions reduction needed to achieve your nearest target. We controlled for the baseline year and used the adoption year or most recent year of available data to avoid inflating the savings achieved. 
</t>
        </r>
        <r>
          <rPr>
            <sz val="10"/>
            <color rgb="FF000000"/>
            <rFont val="Tahoma"/>
            <family val="2"/>
          </rPr>
          <t xml:space="preserve">
</t>
        </r>
        <r>
          <rPr>
            <sz val="10"/>
            <color rgb="FF000000"/>
            <rFont val="Tahoma"/>
            <family val="2"/>
          </rPr>
          <t>If you have any questions about how this is calculated, please contact us at cityscorecard@aceee.org.</t>
        </r>
      </text>
    </comment>
    <comment ref="B35" authorId="0" shapeId="0" xr:uid="{00000000-0006-0000-0200-00000A000000}">
      <text>
        <r>
          <rPr>
            <b/>
            <sz val="10"/>
            <color rgb="FF000000"/>
            <rFont val="Tahoma"/>
            <family val="2"/>
          </rPr>
          <t>ACEEE:</t>
        </r>
        <r>
          <rPr>
            <sz val="10"/>
            <color rgb="FF000000"/>
            <rFont val="Tahoma"/>
            <family val="2"/>
          </rPr>
          <t xml:space="preserve">
</t>
        </r>
        <r>
          <rPr>
            <sz val="10"/>
            <color rgb="FF000000"/>
            <rFont val="Tahoma"/>
            <family val="2"/>
          </rPr>
          <t xml:space="preserve">To calculate stringency, we determined the average annual energy or GHG emissions reduction needed to achieve your nearest target. We controlled for the baseline year and used the adoption year or most recent year of available data to avoid inflating the savings achieved. 
</t>
        </r>
        <r>
          <rPr>
            <sz val="10"/>
            <color rgb="FF000000"/>
            <rFont val="Tahoma"/>
            <family val="2"/>
          </rPr>
          <t xml:space="preserve">
</t>
        </r>
        <r>
          <rPr>
            <sz val="10"/>
            <color rgb="FF000000"/>
            <rFont val="Tahoma"/>
            <family val="2"/>
          </rPr>
          <t>If you have any questions about how this is calculated, please contact us at cityscorecard@aceee.org.</t>
        </r>
      </text>
    </comment>
    <comment ref="B36" authorId="0" shapeId="0" xr:uid="{00000000-0006-0000-0200-00000B000000}">
      <text>
        <r>
          <rPr>
            <b/>
            <sz val="10"/>
            <color rgb="FF000000"/>
            <rFont val="Tahoma"/>
            <family val="2"/>
          </rPr>
          <t xml:space="preserve">ACEEE:
</t>
        </r>
        <r>
          <rPr>
            <sz val="10"/>
            <color rgb="FF000000"/>
            <rFont val="Tahoma"/>
            <family val="2"/>
          </rPr>
          <t xml:space="preserve">The formula can only calculate progress if your city has GHG per capita data after the year of adoption. For example, if your city's most recent data is from 2014, but your city adopted its goal in 2016, no calculation will appear. If this is the case, contact ACEEE at cityscorecard@aceee.org for assistance. </t>
        </r>
        <r>
          <rPr>
            <b/>
            <sz val="10"/>
            <color rgb="FF000000"/>
            <rFont val="Tahoma"/>
            <family val="2"/>
          </rPr>
          <t xml:space="preserve">
</t>
        </r>
      </text>
    </comment>
    <comment ref="B49" authorId="2" shapeId="0" xr:uid="{3D0428A1-9B2C-44E7-B178-9FAC1D9B9BED}">
      <text>
        <r>
          <rPr>
            <b/>
            <sz val="10"/>
            <color indexed="81"/>
            <rFont val="Tahoma"/>
            <family val="2"/>
          </rPr>
          <t xml:space="preserve">ACEEE:
</t>
        </r>
        <r>
          <rPr>
            <sz val="10"/>
            <color indexed="81"/>
            <rFont val="Tahoma"/>
            <family val="2"/>
          </rPr>
          <t>Examples of this engagement could include conducting community forums in languages other than English, organizing added community meetings in low-income communities or communities of color, or involving community-based organizations in leading these outreach efforts.</t>
        </r>
        <r>
          <rPr>
            <sz val="9"/>
            <color indexed="81"/>
            <rFont val="Tahoma"/>
            <family val="2"/>
          </rPr>
          <t xml:space="preserve">
</t>
        </r>
      </text>
    </comment>
    <comment ref="B50" authorId="2" shapeId="0" xr:uid="{D85DD40B-6DD2-499C-B2F1-DAB90934B7C1}">
      <text>
        <r>
          <rPr>
            <b/>
            <sz val="9"/>
            <color indexed="81"/>
            <rFont val="Tahoma"/>
            <family val="2"/>
          </rPr>
          <t>ACEEE:</t>
        </r>
        <r>
          <rPr>
            <sz val="9"/>
            <color indexed="81"/>
            <rFont val="Tahoma"/>
            <family val="2"/>
          </rPr>
          <t xml:space="preserve">
</t>
        </r>
        <r>
          <rPr>
            <sz val="10"/>
            <color indexed="81"/>
            <rFont val="Tahoma"/>
            <family val="2"/>
          </rPr>
          <t xml:space="preserve">Such a decision-making body must be focused primarily on environmental justice or social equity outcomes of multiple energy, sustainability, or climate action initiatives. </t>
        </r>
      </text>
    </comment>
    <comment ref="B55" authorId="2" shapeId="0" xr:uid="{62FC6DAE-7C6E-4AD8-902B-15EC7D76F15E}">
      <text>
        <r>
          <rPr>
            <b/>
            <sz val="10"/>
            <color indexed="81"/>
            <rFont val="Tahoma"/>
            <family val="2"/>
          </rPr>
          <t>ACEEE:</t>
        </r>
        <r>
          <rPr>
            <sz val="10"/>
            <color indexed="81"/>
            <rFont val="Tahoma"/>
            <family val="2"/>
          </rPr>
          <t xml:space="preserve">
Examples of goals could be targeting reductions in temperature or impermeable surfaces, increases in urban tree canopy, increases in the deployment of cool or green roofs, or the expansion of wetlands.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Alexander Jarrah</author>
    <author>ACEEE</author>
  </authors>
  <commentList>
    <comment ref="B16" authorId="0" shapeId="0" xr:uid="{58AB4DFD-4AB8-4AFE-AF96-179EE6D2126F}">
      <text>
        <r>
          <rPr>
            <b/>
            <sz val="10"/>
            <color indexed="81"/>
            <rFont val="Tahoma"/>
            <family val="2"/>
          </rPr>
          <t xml:space="preserve">ACEEE:
</t>
        </r>
        <r>
          <rPr>
            <sz val="10"/>
            <color indexed="81"/>
            <rFont val="Tahoma"/>
            <family val="2"/>
          </rPr>
          <t xml:space="preserve">We will send this data to New Buildings Institute, who will use the data to calculate your city's Zero Energy Performance Index (zEPI) Jurisdictional score. 
</t>
        </r>
      </text>
    </comment>
    <comment ref="B17" authorId="0" shapeId="0" xr:uid="{E5458635-98AA-40DD-9912-FD35B8B9322B}">
      <text>
        <r>
          <rPr>
            <b/>
            <sz val="10"/>
            <color indexed="81"/>
            <rFont val="Tahoma"/>
            <family val="2"/>
          </rPr>
          <t xml:space="preserve">ACEEE:
</t>
        </r>
        <r>
          <rPr>
            <sz val="10"/>
            <color indexed="81"/>
            <rFont val="Tahoma"/>
            <family val="2"/>
          </rPr>
          <t xml:space="preserve">We will send this data to New Buildings Institute, who will use the data to calculate your city's Zero Energy Performance Index (zEPI) Jurisdictional score. 
</t>
        </r>
      </text>
    </comment>
    <comment ref="B25" authorId="0" shapeId="0" xr:uid="{6EE12C56-06EB-4825-9AE3-D8DD3D629470}">
      <text>
        <r>
          <rPr>
            <b/>
            <sz val="10"/>
            <color indexed="81"/>
            <rFont val="Tahoma"/>
            <family val="2"/>
          </rPr>
          <t xml:space="preserve">ACEEE:
</t>
        </r>
        <r>
          <rPr>
            <sz val="10"/>
            <color indexed="81"/>
            <rFont val="Tahoma"/>
            <family val="2"/>
          </rPr>
          <t>This question assesses whether your city has staff solely dedicated to energy code compliance and does not assess the number of employees whose energy code compliance work equals one full-time employee.</t>
        </r>
        <r>
          <rPr>
            <b/>
            <sz val="10"/>
            <color indexed="81"/>
            <rFont val="Tahoma"/>
            <family val="2"/>
          </rPr>
          <t xml:space="preserve">
</t>
        </r>
        <r>
          <rPr>
            <sz val="10"/>
            <color indexed="81"/>
            <rFont val="Tahoma"/>
            <family val="2"/>
          </rPr>
          <t xml:space="preserve">
</t>
        </r>
      </text>
    </comment>
    <comment ref="B26" authorId="1" shapeId="0" xr:uid="{00000000-0006-0000-0300-000001000000}">
      <text>
        <r>
          <rPr>
            <b/>
            <sz val="10"/>
            <color indexed="8"/>
            <rFont val="Tahoma"/>
            <family val="2"/>
          </rPr>
          <t>ACEEE:</t>
        </r>
        <r>
          <rPr>
            <sz val="10"/>
            <color indexed="8"/>
            <rFont val="Tahoma"/>
            <family val="2"/>
          </rPr>
          <t xml:space="preserve">
Examples of up-front support to developers/owners include providing education before permit issuance in the form of workshops, training sessions, consultations, and application reviews by local government staff with an eye toward energy code compliance.</t>
        </r>
      </text>
    </comment>
    <comment ref="B31" authorId="1" shapeId="0" xr:uid="{00000000-0006-0000-0300-000002000000}">
      <text>
        <r>
          <rPr>
            <b/>
            <sz val="10"/>
            <color indexed="8"/>
            <rFont val="Tahoma"/>
            <family val="2"/>
          </rPr>
          <t xml:space="preserve">ACEEE:
</t>
        </r>
        <r>
          <rPr>
            <sz val="10"/>
            <color indexed="8"/>
            <rFont val="Tahoma"/>
            <family val="2"/>
          </rPr>
          <t>In D31, please select the number of financial and nonfinancial incentives and programs that your local government offers (up to a total of 6). Please count residential and commercial incentives separately. For example, if density bonuses are available to both residential and commercial buildings, select "2" rather than "1."</t>
        </r>
        <r>
          <rPr>
            <b/>
            <sz val="10"/>
            <color indexed="8"/>
            <rFont val="Tahoma"/>
            <family val="2"/>
          </rPr>
          <t xml:space="preserve"> 
</t>
        </r>
        <r>
          <rPr>
            <sz val="10"/>
            <color indexed="8"/>
            <rFont val="Tahoma"/>
            <family val="2"/>
          </rPr>
          <t xml:space="preserve">Examples of nonfinancial incentives include expediting the permitting process for green building practices and providing density bonuses that allow the construction of larger and/or higher structures. Examples of financial incentives include tax credits, permit fee reductions or waivers, grants, and property tax abatements. Examples of financing mechanisms that earn points include but are not limited to Property Assessed Clean Energy Financing (PACE), Tax Increment Financing (TIF), and revolving loan funds. </t>
        </r>
        <r>
          <rPr>
            <sz val="9"/>
            <color indexed="8"/>
            <rFont val="Tahoma"/>
            <family val="2"/>
          </rPr>
          <t xml:space="preserve">
</t>
        </r>
      </text>
    </comment>
    <comment ref="B43" authorId="0" shapeId="0" xr:uid="{9D5FDD1D-8F3A-4074-BC25-5CDE411E78E6}">
      <text>
        <r>
          <rPr>
            <b/>
            <sz val="10"/>
            <color indexed="81"/>
            <rFont val="Tahoma"/>
            <family val="2"/>
          </rPr>
          <t xml:space="preserve">ACEEE: 
</t>
        </r>
        <r>
          <rPr>
            <sz val="10"/>
            <color indexed="81"/>
            <rFont val="Tahoma"/>
            <family val="2"/>
          </rPr>
          <t xml:space="preserve">For examples of innovating energy-saving requirements, see Chicago's Energy Rating System, New York City's Local Law 33, and Washington, DC's building energy performance standards. </t>
        </r>
      </text>
    </comment>
    <comment ref="B45" authorId="0" shapeId="0" xr:uid="{8BD08A04-CE69-4169-A1EE-549065F3F6B3}">
      <text>
        <r>
          <rPr>
            <b/>
            <sz val="10"/>
            <color indexed="81"/>
            <rFont val="Tahoma"/>
            <family val="2"/>
          </rPr>
          <t xml:space="preserve">ACEEE: 
</t>
        </r>
        <r>
          <rPr>
            <sz val="10"/>
            <color indexed="81"/>
            <rFont val="Tahoma"/>
            <family val="2"/>
          </rPr>
          <t>Mechanisms to support compliance include 
• Granting exemptions to delay compliance
• Setting performance standards based on the median ENERGY STAR score for different property types
• Establishing multiple compliance pathways
• Fining noncompliant buildings on the basis of how much progress they have made in reducing energy use
• Providing technical assistance to building owners
• Offering financial assistance to building owners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ACEEE</author>
    <author>Kate Tanabe</author>
    <author>Alexander Jarrah</author>
  </authors>
  <commentList>
    <comment ref="E25" authorId="0" shapeId="0" xr:uid="{00000000-0006-0000-0500-000001000000}">
      <text>
        <r>
          <rPr>
            <b/>
            <sz val="11"/>
            <color theme="1"/>
            <rFont val="Calibri"/>
            <family val="2"/>
            <scheme val="minor"/>
          </rPr>
          <t>ACEEE:</t>
        </r>
        <r>
          <rPr>
            <sz val="11"/>
            <color theme="1"/>
            <rFont val="Calibri"/>
            <family val="2"/>
            <scheme val="minor"/>
          </rPr>
          <t xml:space="preserve">
Before clicking through to the NTD website, please use a web search to identify the name(s) of the public transportation system(s) that serve your locality. After you identify them, click through to the website, and then click the link "TS1.1TimeSeriesOpCapFundingSummary.xls."  
Once the file is open, please click through to the "Total" tab and locate the public transportation system that serves your locality in column B. Then scroll over to find your city's five most recent years of data (it will likely be 2013-2017) and calculate the average funding received. If your community is served by multiple transportation systems, please pull funding data for the one with the greatest funding. Enter this number in cell D22. 
</t>
        </r>
      </text>
    </comment>
    <comment ref="E26" authorId="0" shapeId="0" xr:uid="{00000000-0006-0000-0500-000002000000}">
      <text>
        <r>
          <rPr>
            <b/>
            <sz val="11"/>
            <color theme="1"/>
            <rFont val="Calibri"/>
            <family val="2"/>
            <scheme val="minor"/>
          </rPr>
          <t>ACEEE:</t>
        </r>
        <r>
          <rPr>
            <sz val="11"/>
            <color theme="1"/>
            <rFont val="Calibri"/>
            <family val="2"/>
            <scheme val="minor"/>
          </rPr>
          <t xml:space="preserve">
After clicking the link, please download the "Incorporated places" table, then locate your city in the table displaying population estimates for years 2013 through 2017. Once you locate your city, find the corresponding population estimate for 2017 or a more recent year and record that in cell D23.</t>
        </r>
      </text>
    </comment>
    <comment ref="B34" authorId="0" shapeId="0" xr:uid="{00000000-0006-0000-0500-000003000000}">
      <text>
        <r>
          <rPr>
            <b/>
            <sz val="10"/>
            <color rgb="FF000000"/>
            <rFont val="Tahoma"/>
            <family val="2"/>
          </rPr>
          <t>ACEEE:</t>
        </r>
        <r>
          <rPr>
            <sz val="10"/>
            <color rgb="FF000000"/>
            <rFont val="Tahoma"/>
            <family val="2"/>
          </rPr>
          <t xml:space="preserve">
To earn full credit, your city must have a stand-alone transportation plan. A sustainable transportation plan does not have to contain quantifiable VMT or GHG reduction targets, but it must outline strategies or contain an overarching goal of increasing transportation efficiency. </t>
        </r>
      </text>
    </comment>
    <comment ref="B37" authorId="1" shapeId="0" xr:uid="{9539699F-FE87-4D11-980A-BE57A3E21417}">
      <text>
        <r>
          <rPr>
            <b/>
            <sz val="10"/>
            <color indexed="81"/>
            <rFont val="Tahoma"/>
            <family val="2"/>
          </rPr>
          <t xml:space="preserve">ACEEE:
</t>
        </r>
        <r>
          <rPr>
            <sz val="10"/>
            <color indexed="81"/>
            <rFont val="Tahoma"/>
            <family val="2"/>
          </rPr>
          <t xml:space="preserve">To earn credit for this metric, your city must have adopted a vehicle miles traveled (VMT) reduction goal (or a greenhouse gas emissions reduction goal specific to the transportation sector). 
</t>
        </r>
      </text>
    </comment>
    <comment ref="B41" authorId="0" shapeId="0" xr:uid="{00000000-0006-0000-0500-000004000000}">
      <text>
        <r>
          <rPr>
            <b/>
            <sz val="10"/>
            <color rgb="FF000000"/>
            <rFont val="Tahoma"/>
            <family val="2"/>
          </rPr>
          <t>ACEEE:</t>
        </r>
        <r>
          <rPr>
            <sz val="10"/>
            <color rgb="FF000000"/>
            <rFont val="Tahoma"/>
            <family val="2"/>
          </rPr>
          <t xml:space="preserve">
</t>
        </r>
        <r>
          <rPr>
            <sz val="10"/>
            <color rgb="FF000000"/>
            <rFont val="Tahoma"/>
            <family val="2"/>
          </rPr>
          <t xml:space="preserve">Conventional zoning codes often have minimum parking requirements that call for one or more on-site parking spaces per housing unit for all occupied units, and a certain number of spaces for commercial and institutional buildings. These requirements claim significant surface area and drive up development costs, which prevent denser, more-compact development from flourishing. Communities receive points if they reduce or remove these parking minimums.  </t>
        </r>
      </text>
    </comment>
    <comment ref="B42" authorId="0" shapeId="0" xr:uid="{00000000-0006-0000-0500-000005000000}">
      <text>
        <r>
          <rPr>
            <b/>
            <sz val="10"/>
            <color rgb="FF000000"/>
            <rFont val="Tahoma"/>
            <family val="2"/>
          </rPr>
          <t>ACEEE:</t>
        </r>
        <r>
          <rPr>
            <sz val="10"/>
            <color rgb="FF000000"/>
            <rFont val="Tahoma"/>
            <family val="2"/>
          </rPr>
          <t xml:space="preserve">
</t>
        </r>
        <r>
          <rPr>
            <sz val="10"/>
            <color rgb="FF000000"/>
            <rFont val="Tahoma"/>
            <family val="2"/>
          </rPr>
          <t>Cities receive points by enacting zoning codes that lead to investment in and development of mixed-use, walkable communities located near transit facilities. While it isn’t mandatory to have all these features, zoning regulations that support location efficiency should</t>
        </r>
        <r>
          <rPr>
            <sz val="10"/>
            <color rgb="FF000000"/>
            <rFont val="Tahoma"/>
            <family val="2"/>
          </rPr>
          <t xml:space="preserve">
</t>
        </r>
        <r>
          <rPr>
            <sz val="10"/>
            <color rgb="FF000000"/>
            <rFont val="Tahoma"/>
            <family val="2"/>
          </rPr>
          <t xml:space="preserve">• Require mixed-use zones
</t>
        </r>
        <r>
          <rPr>
            <sz val="10"/>
            <color rgb="FF000000"/>
            <rFont val="Tahoma"/>
            <family val="2"/>
          </rPr>
          <t xml:space="preserve">• Recalibrate zoning standards to allow compact development
</t>
        </r>
        <r>
          <rPr>
            <sz val="10"/>
            <color rgb="FF000000"/>
            <rFont val="Tahoma"/>
            <family val="2"/>
          </rPr>
          <t xml:space="preserve">• Increase density in city centers and around transit nodes
</t>
        </r>
        <r>
          <rPr>
            <sz val="10"/>
            <color rgb="FF000000"/>
            <rFont val="Tahoma"/>
            <family val="2"/>
          </rPr>
          <t xml:space="preserve">• Modernize street standards or enact new standards to foster walkable communities
</t>
        </r>
        <r>
          <rPr>
            <sz val="10"/>
            <color rgb="FF000000"/>
            <rFont val="Tahoma"/>
            <family val="2"/>
          </rPr>
          <t xml:space="preserve">• Designate preferred growth areas 
</t>
        </r>
        <r>
          <rPr>
            <sz val="8"/>
            <color rgb="FF000000"/>
            <rFont val="Tahoma"/>
            <family val="2"/>
          </rPr>
          <t xml:space="preserve">
</t>
        </r>
        <r>
          <rPr>
            <sz val="8"/>
            <color rgb="FF000000"/>
            <rFont val="Tahoma"/>
            <family val="2"/>
          </rPr>
          <t xml:space="preserve">
</t>
        </r>
      </text>
    </comment>
    <comment ref="F42" authorId="0" shapeId="0" xr:uid="{00000000-0006-0000-0500-000006000000}">
      <text>
        <r>
          <rPr>
            <b/>
            <sz val="10"/>
            <color indexed="81"/>
            <rFont val="Tahoma"/>
            <family val="2"/>
          </rPr>
          <t>ACEEE:</t>
        </r>
        <r>
          <rPr>
            <sz val="10"/>
            <color indexed="81"/>
            <rFont val="Tahoma"/>
            <family val="2"/>
          </rPr>
          <t xml:space="preserve">
Click on the “CS Launch It” button for the study’s results. All communities in the study are listed alphabetically. However, this source is not exhaustive. If your community is not listed, you will need to do some independent research.</t>
        </r>
      </text>
    </comment>
    <comment ref="B43" authorId="0" shapeId="0" xr:uid="{00000000-0006-0000-0500-000007000000}">
      <text>
        <r>
          <rPr>
            <b/>
            <sz val="10"/>
            <color rgb="FF000000"/>
            <rFont val="Tahoma"/>
            <family val="2"/>
          </rPr>
          <t>ACEEE:</t>
        </r>
        <r>
          <rPr>
            <sz val="10"/>
            <color rgb="FF000000"/>
            <rFont val="Tahoma"/>
            <family val="2"/>
          </rPr>
          <t xml:space="preserve">
Communities earn 0.5 points for each incentive and disclosure policy, up to a maximum of 2 points. For column D, please select the number that corresponds to the number of incentives/disclosure policies your community has enacted. 
Examples of financial and nonfinancial incentives to encourage location-efficient development include the following:
• Density bonuses
• Expedited permitting 
• Low-interest loans
• Tax abatement programs</t>
        </r>
        <r>
          <rPr>
            <sz val="8"/>
            <color rgb="FF000000"/>
            <rFont val="Tahoma"/>
            <family val="2"/>
          </rPr>
          <t xml:space="preserve">
</t>
        </r>
      </text>
    </comment>
    <comment ref="B47" authorId="0" shapeId="0" xr:uid="{00000000-0006-0000-0500-000008000000}">
      <text>
        <r>
          <rPr>
            <b/>
            <sz val="10"/>
            <color rgb="FF000000"/>
            <rFont val="Tahoma"/>
            <family val="2"/>
          </rPr>
          <t>ACEEE:</t>
        </r>
        <r>
          <rPr>
            <sz val="10"/>
            <color rgb="FF000000"/>
            <rFont val="Tahoma"/>
            <family val="2"/>
          </rPr>
          <t xml:space="preserve">
</t>
        </r>
        <r>
          <rPr>
            <sz val="10"/>
            <color rgb="FF000000"/>
            <rFont val="Tahoma"/>
            <family val="2"/>
          </rPr>
          <t xml:space="preserve">Modal share targets aim to increase the percentage of trips taken using non-automobile modes of transportation. Cities that commit to long-run modal share targets can change the travel behavior of their communities in favor of modes of transportation that consume less energy. </t>
        </r>
      </text>
    </comment>
    <comment ref="B50" authorId="1" shapeId="0" xr:uid="{07FA6122-F832-4215-B66D-CD76324C21F1}">
      <text>
        <r>
          <rPr>
            <b/>
            <sz val="9"/>
            <color indexed="81"/>
            <rFont val="Tahoma"/>
            <family val="2"/>
          </rPr>
          <t xml:space="preserve">ACEEE: 
</t>
        </r>
        <r>
          <rPr>
            <sz val="9"/>
            <color indexed="81"/>
            <rFont val="Tahoma"/>
            <family val="2"/>
          </rPr>
          <t>We've coordinated data efforts with PeopleForBikes. If your community has reported to PeopleForBikes for the PlacesForBikes city rankings, we will provide your community's scores. If not, your community can consider reporting here: https://cityratings.peopleforbikes.org/</t>
        </r>
      </text>
    </comment>
    <comment ref="F50" authorId="0" shapeId="0" xr:uid="{00000000-0006-0000-0500-00000D000000}">
      <text>
        <r>
          <rPr>
            <b/>
            <sz val="10"/>
            <color indexed="81"/>
            <rFont val="Tahoma"/>
            <family val="2"/>
          </rPr>
          <t>ACEEE:</t>
        </r>
        <r>
          <rPr>
            <sz val="10"/>
            <color indexed="81"/>
            <rFont val="Tahoma"/>
            <family val="2"/>
          </rPr>
          <t xml:space="preserve">
Use the search function to find your community. </t>
        </r>
      </text>
    </comment>
    <comment ref="B54" authorId="0" shapeId="0" xr:uid="{00000000-0006-0000-0500-00000E000000}">
      <text>
        <r>
          <rPr>
            <b/>
            <sz val="10"/>
            <color rgb="FF000000"/>
            <rFont val="Tahoma"/>
            <family val="2"/>
          </rPr>
          <t>ACEEE:</t>
        </r>
        <r>
          <rPr>
            <sz val="10"/>
            <color rgb="FF000000"/>
            <rFont val="Tahoma"/>
            <family val="2"/>
          </rPr>
          <t xml:space="preserve">
</t>
        </r>
        <r>
          <rPr>
            <sz val="10"/>
            <color rgb="FF000000"/>
            <rFont val="Tahoma"/>
            <family val="2"/>
          </rPr>
          <t>The answer is automatically calculated from the preliminary information you provided, but please select the description in column D that best fits the answer.</t>
        </r>
      </text>
    </comment>
    <comment ref="F55" authorId="0" shapeId="0" xr:uid="{00000000-0006-0000-0500-000010000000}">
      <text>
        <r>
          <rPr>
            <b/>
            <sz val="10"/>
            <color indexed="81"/>
            <rFont val="Tahoma"/>
            <family val="2"/>
          </rPr>
          <t>ACEEE:</t>
        </r>
        <r>
          <rPr>
            <sz val="10"/>
            <color indexed="81"/>
            <rFont val="Tahoma"/>
            <family val="2"/>
          </rPr>
          <t xml:space="preserve">
Once the website opens, enter your community's name in the search box. After the search completes and the data loads, your transit performance score should appear at the top of the page. Record the score in column C and select the appropriate drop-down in column D. </t>
        </r>
      </text>
    </comment>
    <comment ref="B59" authorId="0" shapeId="0" xr:uid="{00000000-0006-0000-0500-000011000000}">
      <text>
        <r>
          <rPr>
            <b/>
            <sz val="10"/>
            <color rgb="FF000000"/>
            <rFont val="Tahoma"/>
            <family val="2"/>
          </rPr>
          <t>ACEEE:</t>
        </r>
        <r>
          <rPr>
            <sz val="10"/>
            <color rgb="FF000000"/>
            <rFont val="Tahoma"/>
            <family val="2"/>
          </rPr>
          <t xml:space="preserve">
</t>
        </r>
        <r>
          <rPr>
            <sz val="10"/>
            <color rgb="FF000000"/>
            <rFont val="Tahoma"/>
            <family val="2"/>
          </rPr>
          <t xml:space="preserve">While alternative-fuel vehicles—those that use ethanol or compressed natural gas—can provide substantial environmental benefits by reducing pollution, they do not generally improve vehicle fuel efficiency. Therefore policies to promote the purchase of alternative-fuel vehicles, but not the purchase of high-efficiency vehicles, do not receive a point. We also do not give credit for incentives such as the use of high-occupancy-vehicle lanes and preferred parking programs for high-efficiency and electric vehicles, as they can promote increased automobile use and consequently may have no net energy benefit. </t>
        </r>
      </text>
    </comment>
    <comment ref="F61" authorId="0" shapeId="0" xr:uid="{00000000-0006-0000-0500-000012000000}">
      <text>
        <r>
          <rPr>
            <b/>
            <sz val="10"/>
            <color indexed="81"/>
            <rFont val="Tahoma"/>
            <family val="2"/>
          </rPr>
          <t>ACEEE:</t>
        </r>
        <r>
          <rPr>
            <sz val="10"/>
            <color indexed="81"/>
            <rFont val="Tahoma"/>
            <family val="2"/>
          </rPr>
          <t xml:space="preserve">
After clicking through to the site, locate the drop box to the right of "Dataset." Click this drop box and select "Alternative fuel stations,"  then move on to the drop box below and select your preferred file format for downloading the file. 
Next, locate the drop boxes under "Download options" and fill out the appropriate information. For "Fuel type" you should select the "Electric" option, for "Access" you should select the "Public" option, and for "Status" please select "Open." Next, provide the required information found in Step 2 and select the "Download" button at the bottom of the page. 
The file displays all publicly available electric vehicle charging stations. It is easiest to filter by your city (column E if using Excel) and count the number of charging stations listed.  </t>
        </r>
      </text>
    </comment>
    <comment ref="B67" authorId="0" shapeId="0" xr:uid="{00000000-0006-0000-0500-000013000000}">
      <text>
        <r>
          <rPr>
            <b/>
            <sz val="9"/>
            <color rgb="FF000000"/>
            <rFont val="Tahoma"/>
            <family val="2"/>
          </rPr>
          <t>ACEEE:</t>
        </r>
        <r>
          <rPr>
            <sz val="8"/>
            <color rgb="FF000000"/>
            <rFont val="Tahoma"/>
            <family val="2"/>
          </rPr>
          <t xml:space="preserve">
</t>
        </r>
        <r>
          <rPr>
            <sz val="10"/>
            <color indexed="81"/>
            <rFont val="Tahoma"/>
            <family val="2"/>
          </rPr>
          <t>Locally developed freight plans can go above and beyond state freight requirements and policies. They can serve as the foundation for strategies to increase freight efficiency, which may include truck-loading plans, multimodal requirements, street design, last-mile delivery solutions, zoning provisions, off-hour delivery programs, or strategies to increase the use of rail, barge, or other multimodal freight options. Each strategy positively affects freight efficiency, but a plan with a comprehensive package of strategies can result in greater fuel savings. We award higher points to cities with stand-alone sustainable freight or freight modality plans that outline multiple strategies to increase efficiency. Cities can earn fewer points for pursuing freight efficiency strategies without a stand-alone freight plan.</t>
        </r>
      </text>
    </comment>
    <comment ref="F72" authorId="2" shapeId="0" xr:uid="{A14DAA8A-5B38-4F44-8CA0-57609B71FB80}">
      <text>
        <r>
          <rPr>
            <b/>
            <sz val="10"/>
            <color indexed="81"/>
            <rFont val="Tahoma"/>
            <family val="2"/>
          </rPr>
          <t xml:space="preserve">ACEEE:
</t>
        </r>
        <r>
          <rPr>
            <sz val="10"/>
            <color indexed="81"/>
            <rFont val="Tahoma"/>
            <family val="2"/>
          </rPr>
          <t>Once the website opens, enter your community's name in the search box. After the search completes and the data loads, scroll down to the Equity section. Under Households Near Transit, click on the Income option to the right of "View by". Add and record the percentages for households earning under $50,000 a year in column C and select the appropriate drop-down in column D.</t>
        </r>
      </text>
    </comment>
    <comment ref="B77" authorId="1" shapeId="0" xr:uid="{811E9861-3F6F-4916-95A0-432AD3562F23}">
      <text>
        <r>
          <rPr>
            <b/>
            <sz val="9"/>
            <color indexed="81"/>
            <rFont val="Tahoma"/>
            <family val="2"/>
          </rPr>
          <t>ACEEE:</t>
        </r>
        <r>
          <rPr>
            <sz val="9"/>
            <color indexed="81"/>
            <rFont val="Tahoma"/>
            <family val="2"/>
          </rPr>
          <t xml:space="preserve">
Congestion pricing programs have clear impacts on emissions and energy consumption at the local level since they tend to push travel to more efficient modes of transportation and discourage personal vehicle use. Cities with congestion pricing mechanisms in place earn a bonus point in this year’s Scorecard to acknowledge their initiative in leading the country on this front.</t>
        </r>
      </text>
    </comment>
    <comment ref="B81" authorId="1" shapeId="0" xr:uid="{83C33027-D99B-40D4-BAF3-8F00ED2FE596}">
      <text>
        <r>
          <rPr>
            <b/>
            <sz val="9"/>
            <color indexed="81"/>
            <rFont val="Tahoma"/>
            <family val="2"/>
          </rPr>
          <t>ACEEE:</t>
        </r>
        <r>
          <rPr>
            <sz val="9"/>
            <color indexed="81"/>
            <rFont val="Tahoma"/>
            <family val="2"/>
          </rPr>
          <t xml:space="preserve">
Currently the upfront investment required for EVs and their charging equipment can be cost prohibitive for low-income, environmental justice, and economically distressed communities. To make EVs accessible to all, cities should include goals and funding streams specifically aimed at EV deployment and the installation of charging
infrastructure within those communities.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Kate Tanabe</author>
    <author>ACEEE</author>
  </authors>
  <commentList>
    <comment ref="B12" authorId="0" shapeId="0" xr:uid="{926A7978-09E5-4195-B947-E6C190BD9CA9}">
      <text>
        <r>
          <rPr>
            <b/>
            <sz val="11"/>
            <color theme="1"/>
            <rFont val="Calibri"/>
            <family val="2"/>
            <scheme val="minor"/>
          </rPr>
          <t>ACEEE:</t>
        </r>
        <r>
          <rPr>
            <sz val="11"/>
            <color theme="1"/>
            <rFont val="Calibri"/>
            <family val="2"/>
            <scheme val="minor"/>
          </rPr>
          <t xml:space="preserve">
We assess the clean energy efforts of the electric utility that serves the majority of households in your community. Please see the final sheet of this document for a list of utilities included in the 2021 City Clean Energy Scorecard. You can find data for these utilities on ACEEE's State and Local Policy Database to answer the following questions. </t>
        </r>
      </text>
    </comment>
    <comment ref="B13" authorId="0" shapeId="0" xr:uid="{35ED85DF-516C-4930-B74F-C85E5C0E7704}">
      <text>
        <r>
          <rPr>
            <b/>
            <sz val="11"/>
            <color theme="1"/>
            <rFont val="Calibri"/>
            <family val="2"/>
            <scheme val="minor"/>
          </rPr>
          <t>ACEEE:</t>
        </r>
        <r>
          <rPr>
            <sz val="11"/>
            <color theme="1"/>
            <rFont val="Calibri"/>
            <family val="2"/>
            <scheme val="minor"/>
          </rPr>
          <t xml:space="preserve">
We assess the clean energy efforts of the natural gas utility that serves the majority of households in your community. Please see the final sheet of this document for a list of utilities included in the 2021 City Clean Energy Scorecard. You can find data for these utilities on ACEEE's State and Local Policy Database to answer the following questions. </t>
        </r>
      </text>
    </comment>
    <comment ref="B14" authorId="1" shapeId="0" xr:uid="{00000000-0006-0000-0400-000001000000}">
      <text>
        <r>
          <rPr>
            <b/>
            <sz val="10"/>
            <color rgb="FF000000"/>
            <rFont val="Tahoma"/>
            <family val="2"/>
          </rPr>
          <t>ACEEE:</t>
        </r>
        <r>
          <rPr>
            <sz val="10"/>
            <color rgb="FF000000"/>
            <rFont val="Tahoma"/>
            <family val="2"/>
          </rPr>
          <t xml:space="preserve">
</t>
        </r>
        <r>
          <rPr>
            <sz val="10"/>
            <color rgb="FF000000"/>
            <rFont val="Tahoma"/>
            <family val="2"/>
          </rPr>
          <t xml:space="preserve">Communities' ability to influence utility efficiency spending and to require utilities to invest in energy efficiency varies based on whether the utilities serving those communities are municipally owned (munis) or investor-owned (IOUs). As a result, we score communities differently depending on whether they are served by an IOU or a muni.   </t>
        </r>
      </text>
    </comment>
    <comment ref="B15" authorId="1" shapeId="0" xr:uid="{00000000-0006-0000-0400-000002000000}">
      <text>
        <r>
          <rPr>
            <b/>
            <sz val="10"/>
            <color rgb="FF000000"/>
            <rFont val="Tahoma"/>
            <family val="2"/>
          </rPr>
          <t>ACEEE:</t>
        </r>
        <r>
          <rPr>
            <sz val="10"/>
            <color rgb="FF000000"/>
            <rFont val="Tahoma"/>
            <family val="2"/>
          </rPr>
          <t xml:space="preserve">
</t>
        </r>
        <r>
          <rPr>
            <sz val="10"/>
            <color rgb="FF000000"/>
            <rFont val="Tahoma"/>
            <family val="2"/>
          </rPr>
          <t xml:space="preserve">As with electric utilities, communities' ability to influence utility efficiency spending and to require utilities to invest in energy efficiency varies based on whether the utilities serving those communities are municipally owned (munis) or investor-owned (IOUs). As a result, we score communities differently depending on whether they are served by an IOU or a muni.    </t>
        </r>
      </text>
    </comment>
    <comment ref="E16" authorId="1" shapeId="0" xr:uid="{00000000-0006-0000-0400-000003000000}">
      <text>
        <r>
          <rPr>
            <b/>
            <sz val="11"/>
            <color theme="1"/>
            <rFont val="Calibri"/>
            <family val="2"/>
            <scheme val="minor"/>
          </rPr>
          <t>ACEEE:</t>
        </r>
        <r>
          <rPr>
            <sz val="11"/>
            <color theme="1"/>
            <rFont val="Calibri"/>
            <family val="2"/>
            <scheme val="minor"/>
          </rPr>
          <t xml:space="preserve">
In order to ensure accuracy, we recommend that you collect this information directly from your utility through planning documents, commission websites, or personal communication. Please look for total electricity sales if you find the data this way. If your utility does not have the data available, then please follow these instructions: 
Once you have clicked through to the EIA website, select the Form 861 data for 2019 by clicking on the link on the upper right of the webpage. Once the data are downloaded, open Sales_Ult_Cust_2019, where you will find total electricity sales (in MWh) for your utility in column W.
If you are unable to gather this information or have any questions, please contact us at cityscorecard@aceee.org. </t>
        </r>
      </text>
    </comment>
    <comment ref="E17" authorId="1" shapeId="0" xr:uid="{00000000-0006-0000-0400-000004000000}">
      <text>
        <r>
          <rPr>
            <b/>
            <sz val="11"/>
            <color theme="1"/>
            <rFont val="Calibri"/>
            <family val="2"/>
            <scheme val="minor"/>
          </rPr>
          <t>ACEEE:</t>
        </r>
        <r>
          <rPr>
            <sz val="11"/>
            <color theme="1"/>
            <rFont val="Calibri"/>
            <family val="2"/>
            <scheme val="minor"/>
          </rPr>
          <t xml:space="preserve">
In order to ensure accuracy, we recommend that you collect this information directly from your utility through planning documents, commission websites, or personal communication. Please look for net incremental savings if you find the data this way.  If your utility does not have the data available, then please follow these instructions: 
Once you have clicked through to the EIA website, select the Form 861 data for 2019 by clicking on the link on the upper right of the webpage. Once the data are downloaded, open Energy_Efficiency_2019, where you will find total electric savings for your utility in column I under "Reporting Year Incremental Annual Savings." These savings are reported as gross savings. Multiply these savings by a factor of 0.825 to convert the EIA data to net savings. Enter the net savings into cell D17. 
If you are unable to gather this information or have any questions, please contact us at cityscorecard@aceee.org. </t>
        </r>
      </text>
    </comment>
    <comment ref="E18" authorId="1" shapeId="0" xr:uid="{00000000-0006-0000-0400-000005000000}">
      <text>
        <r>
          <rPr>
            <b/>
            <sz val="11"/>
            <color theme="1"/>
            <rFont val="Calibri"/>
            <family val="2"/>
            <scheme val="minor"/>
          </rPr>
          <t>ACEEE:</t>
        </r>
        <r>
          <rPr>
            <sz val="11"/>
            <color theme="1"/>
            <rFont val="Calibri"/>
            <family val="2"/>
            <scheme val="minor"/>
          </rPr>
          <t xml:space="preserve">
In order to ensure accuracy, we recommend that you collect this information directly from your utility through planning documents, commission websites, or personal communication. If your utility does not have the data available, then please follow these instructions: 
Once you have clicked the link, you will be brought to the Natural Gas Annual Respondent Query System. To the right of "Report:" in the top left-hand part of the page, you will see a drop-down menu with 176 Custom Report (user-defined) selected. If not already preselected, you will have to click the drop-down and select this option. Next, click the "Choose Items" button next to the drop-down; this will open up a list of items to be displayed in the table. Please select [10.1] "Residential Sales Volume" and [10.2] "Commercial Sales Volume." In order to highlight these two items, you will have to hold down the Ctrl button while clicking on each one. 
Once the data have finished loading, you can either download it in MS Excel format by clicking on the Excel icon at the top right of the table or continue to view it within the EIA website. Either way, you should sort the data by your Area (first column) and/or the Company (second column) that delivers your natural gas. After sorting, add the 2019 residential and commercial sales volume and copy it in cell D18. 
If you are unable to gather this information or have any questions, please contact us at cityscorecard@aceee.org. 
</t>
        </r>
      </text>
    </comment>
    <comment ref="E19" authorId="1" shapeId="0" xr:uid="{00000000-0006-0000-0400-000006000000}">
      <text>
        <r>
          <rPr>
            <b/>
            <sz val="11"/>
            <color theme="1"/>
            <rFont val="Calibri"/>
            <family val="2"/>
            <scheme val="minor"/>
          </rPr>
          <t>ACEEE:</t>
        </r>
        <r>
          <rPr>
            <sz val="11"/>
            <color theme="1"/>
            <rFont val="Calibri"/>
            <family val="2"/>
            <scheme val="minor"/>
          </rPr>
          <t xml:space="preserve">
Because there is no centralized source for this data, users must compile research on the major natural gas utility that serves the community.  First, search the state public utility commission (PUC) or public service commission (PSC) website for natural gas utility energy efficiency reports, which are generally required to be filed yearly.  To do this, go to the PUC or PSC website and search through either the official filings or proceedings for these reports.  Key search terms include “natural gas energy efficiency savings.”  Another avenue to get this data is to search the utility’s website directly for any public energy efficiency reports or sustainability reports.  It should be noted that this is a difficult piece of data to ascertain. ACEEE typically consults with local government and utility staff to receive this information. </t>
        </r>
      </text>
    </comment>
    <comment ref="E20" authorId="0" shapeId="0" xr:uid="{9759BCEC-871C-476B-893D-E0C0D1478CE6}">
      <text>
        <r>
          <rPr>
            <b/>
            <sz val="9"/>
            <color indexed="81"/>
            <rFont val="Tahoma"/>
            <family val="2"/>
          </rPr>
          <t>ACEEE:</t>
        </r>
        <r>
          <rPr>
            <sz val="9"/>
            <color indexed="81"/>
            <rFont val="Tahoma"/>
            <family val="2"/>
          </rPr>
          <t xml:space="preserve">
</t>
        </r>
        <r>
          <rPr>
            <sz val="10"/>
            <color indexed="81"/>
            <rFont val="Tahoma"/>
            <family val="2"/>
          </rPr>
          <t>Because there is no centralized source for this data, users must compile research on the major electric utility that serves the community. If your community is served by a utility already included in the City Clean Energy Scorecard, you can find their data on our State and Local Policy Database. Otherwise, please contact the utility directly for data.</t>
        </r>
        <r>
          <rPr>
            <sz val="9"/>
            <color indexed="81"/>
            <rFont val="Tahoma"/>
            <family val="2"/>
          </rPr>
          <t xml:space="preserve">
</t>
        </r>
      </text>
    </comment>
    <comment ref="B21" authorId="1" shapeId="0" xr:uid="{13DEA3AA-69CD-49B4-9A2C-2308732D1BD1}">
      <text>
        <r>
          <rPr>
            <b/>
            <sz val="10"/>
            <color rgb="FF000000"/>
            <rFont val="Tahoma"/>
            <family val="2"/>
          </rPr>
          <t>ACEEE:</t>
        </r>
        <r>
          <rPr>
            <sz val="10"/>
            <color rgb="FF000000"/>
            <rFont val="Tahoma"/>
            <family val="2"/>
          </rPr>
          <t xml:space="preserve">
Please enter the nearest target year of your local government's goal. For example, if your local government has goals to reduce energy use by 2030, 2040, and 2050, enter 2030. 
If your community has an annual reduction goal, please contact us at cityscorecard@aceee.org for assistance in calculating the appropriate values.  </t>
        </r>
      </text>
    </comment>
    <comment ref="E21" authorId="0" shapeId="0" xr:uid="{33F84B78-2828-4CC3-939B-F3E2C86DD7BA}">
      <text>
        <r>
          <rPr>
            <b/>
            <sz val="9"/>
            <color indexed="81"/>
            <rFont val="Tahoma"/>
            <family val="2"/>
          </rPr>
          <t>ACEEE:</t>
        </r>
        <r>
          <rPr>
            <sz val="9"/>
            <color indexed="81"/>
            <rFont val="Tahoma"/>
            <family val="2"/>
          </rPr>
          <t xml:space="preserve">
</t>
        </r>
        <r>
          <rPr>
            <sz val="10"/>
            <color indexed="81"/>
            <rFont val="Tahoma"/>
            <family val="2"/>
          </rPr>
          <t>Because there is no centralized source for this data, users must compile research on the major electric utility that serves the community. If your community is served by a utility already included in the City Clean Energy Scorecard, you can find their data on our State and Local Policy Database. Otherwise, please contact the utility directly for data.</t>
        </r>
        <r>
          <rPr>
            <sz val="9"/>
            <color indexed="81"/>
            <rFont val="Tahoma"/>
            <family val="2"/>
          </rPr>
          <t xml:space="preserve">
</t>
        </r>
      </text>
    </comment>
    <comment ref="B22" authorId="1" shapeId="0" xr:uid="{8A6138D7-31DF-4CE1-AC57-CC2A58F452C8}">
      <text>
        <r>
          <rPr>
            <b/>
            <sz val="10"/>
            <color rgb="FF000000"/>
            <rFont val="Tahoma"/>
            <family val="2"/>
          </rPr>
          <t>ACEEE:</t>
        </r>
        <r>
          <rPr>
            <sz val="10"/>
            <color rgb="FF000000"/>
            <rFont val="Tahoma"/>
            <family val="2"/>
          </rPr>
          <t xml:space="preserve">
The formula is set up to calculate a cumulative energy efficiency or greenhouse gas emissions reduction goal. If your local government has a per capita, annual, or energy intensity goal, please contact us at cityscorecard@aceee.org for assistance in calculating the appropriate values.  </t>
        </r>
      </text>
    </comment>
    <comment ref="E22" authorId="0" shapeId="0" xr:uid="{6E8E5238-12DD-4C57-8027-39CDBC6F3D98}">
      <text>
        <r>
          <rPr>
            <b/>
            <sz val="9"/>
            <color indexed="81"/>
            <rFont val="Tahoma"/>
            <family val="2"/>
          </rPr>
          <t>ACEEE:</t>
        </r>
        <r>
          <rPr>
            <sz val="9"/>
            <color indexed="81"/>
            <rFont val="Tahoma"/>
            <family val="2"/>
          </rPr>
          <t xml:space="preserve">
</t>
        </r>
        <r>
          <rPr>
            <sz val="10"/>
            <color indexed="81"/>
            <rFont val="Tahoma"/>
            <family val="2"/>
          </rPr>
          <t>Because there is no centralized source for this data, users must compile research on the major electric utility that serves the community. If your community is served by a utility already included in the City Clean Energy Scorecard, you can find their data on our State and Local Policy Database. Otherwise, please contact the utility directly for data.</t>
        </r>
      </text>
    </comment>
    <comment ref="E23" authorId="0" shapeId="0" xr:uid="{8BAF810E-2386-4452-BD4A-B86986FD0F51}">
      <text>
        <r>
          <rPr>
            <b/>
            <sz val="9"/>
            <color indexed="81"/>
            <rFont val="Tahoma"/>
            <family val="2"/>
          </rPr>
          <t>ACEEE:</t>
        </r>
        <r>
          <rPr>
            <sz val="9"/>
            <color indexed="81"/>
            <rFont val="Tahoma"/>
            <family val="2"/>
          </rPr>
          <t xml:space="preserve">
</t>
        </r>
        <r>
          <rPr>
            <sz val="10"/>
            <color indexed="81"/>
            <rFont val="Tahoma"/>
            <family val="2"/>
          </rPr>
          <t>Because there is no centralized source for this data, users must compile research on the major electric utility that serves the community. If your community is served by a utility already included in the City Clean Energy Scorecard, you can find their data on our State and Local Policy Database. Otherwise, please contact the utility directly for data.</t>
        </r>
      </text>
    </comment>
    <comment ref="B24" authorId="1" shapeId="0" xr:uid="{898B1813-FE40-46F3-991C-BE8793D80199}">
      <text>
        <r>
          <rPr>
            <b/>
            <sz val="10"/>
            <color rgb="FF000000"/>
            <rFont val="Tahoma"/>
            <family val="2"/>
          </rPr>
          <t>ACEEE:</t>
        </r>
        <r>
          <rPr>
            <sz val="10"/>
            <color rgb="FF000000"/>
            <rFont val="Tahoma"/>
            <family val="2"/>
          </rPr>
          <t xml:space="preserve">
If you don't have energy consumption or GHG emissions data available for the adoption year, then please provide the year closest to the adoption year for which you have available data in either C15, D15, E15. 
If you have any questions, please contact us at cityscorecard@aceee.org. 
</t>
        </r>
      </text>
    </comment>
    <comment ref="E24" authorId="0" shapeId="0" xr:uid="{FBFB09DB-0B2A-460D-B790-DA451E0145D2}">
      <text>
        <r>
          <rPr>
            <b/>
            <sz val="9"/>
            <color indexed="81"/>
            <rFont val="Tahoma"/>
            <family val="2"/>
          </rPr>
          <t>ACEEE:</t>
        </r>
        <r>
          <rPr>
            <sz val="9"/>
            <color indexed="81"/>
            <rFont val="Tahoma"/>
            <family val="2"/>
          </rPr>
          <t xml:space="preserve">
</t>
        </r>
        <r>
          <rPr>
            <sz val="10"/>
            <color indexed="81"/>
            <rFont val="Tahoma"/>
            <family val="2"/>
          </rPr>
          <t>Because there is no centralized source for this data, users must compile research on the major electric utility that serves the community. If your community is served by a utility already included in the City Clean Energy Scorecard, you can find their data on our State and Local Policy Database. Otherwise, please contact the utility directly for data.</t>
        </r>
      </text>
    </comment>
    <comment ref="B25" authorId="1" shapeId="0" xr:uid="{C4B2EF9B-C20A-4AEF-A87A-71CD7DE31749}">
      <text>
        <r>
          <rPr>
            <b/>
            <sz val="10"/>
            <color rgb="FF000000"/>
            <rFont val="Tahoma"/>
            <family val="2"/>
          </rPr>
          <t>ACEEE:</t>
        </r>
        <r>
          <rPr>
            <sz val="10"/>
            <color rgb="FF000000"/>
            <rFont val="Tahoma"/>
            <family val="2"/>
          </rPr>
          <t xml:space="preserve">
If you don't have energy consumption or GHG emissions data available for the adoption year, then please provide the year nearest the adoption year for which you have available data. The data should be pulled from the year that was entered in C15, D15, or E15. 
For renewable energy generation share, we characterize cities' grid mix using what is considered renewable in their city and/or state. If your city has adopted a carbon-free goal, you should enter the share of electricity that is carbon free. 
If you have any questions, please contact us at cityscorecard@aceee.org. 
</t>
        </r>
      </text>
    </comment>
    <comment ref="E25" authorId="0" shapeId="0" xr:uid="{BB12C564-3D79-4087-B1F6-20D4FE021E6B}">
      <text>
        <r>
          <rPr>
            <b/>
            <sz val="9"/>
            <color indexed="81"/>
            <rFont val="Tahoma"/>
            <family val="2"/>
          </rPr>
          <t>ACEEE:</t>
        </r>
        <r>
          <rPr>
            <sz val="9"/>
            <color indexed="81"/>
            <rFont val="Tahoma"/>
            <family val="2"/>
          </rPr>
          <t xml:space="preserve">
</t>
        </r>
        <r>
          <rPr>
            <sz val="10"/>
            <color indexed="81"/>
            <rFont val="Tahoma"/>
            <family val="2"/>
          </rPr>
          <t>Because there is no centralized source for this data, users must compile research on the major electric utility that serves the community. If your community is served by a utility already included in the City Clean Energy Scorecard, you can find their data on our State and Local Policy Database. Otherwise, please contact the utility directly for data.</t>
        </r>
      </text>
    </comment>
    <comment ref="B26" authorId="1" shapeId="0" xr:uid="{AAE7E3C2-7105-464C-9505-D3EB51EC636F}">
      <text>
        <r>
          <rPr>
            <b/>
            <sz val="10"/>
            <color rgb="FF000000"/>
            <rFont val="Tahoma"/>
            <family val="2"/>
          </rPr>
          <t>ACEEE:</t>
        </r>
        <r>
          <rPr>
            <sz val="10"/>
            <color rgb="FF000000"/>
            <rFont val="Tahoma"/>
            <family val="2"/>
          </rPr>
          <t xml:space="preserve">
</t>
        </r>
        <r>
          <rPr>
            <sz val="10"/>
            <color rgb="FF000000"/>
            <rFont val="Tahoma"/>
            <family val="2"/>
          </rPr>
          <t>The year entered must be more recent than the adoption year or else scoring errors will occur.</t>
        </r>
        <r>
          <rPr>
            <b/>
            <i/>
            <sz val="10"/>
            <color rgb="FF000000"/>
            <rFont val="Tahoma"/>
            <family val="2"/>
          </rPr>
          <t xml:space="preserve">
</t>
        </r>
        <r>
          <rPr>
            <sz val="10"/>
            <color rgb="FF000000"/>
            <rFont val="Tahoma"/>
            <family val="2"/>
          </rPr>
          <t xml:space="preserve">
</t>
        </r>
        <r>
          <rPr>
            <sz val="10"/>
            <color rgb="FF000000"/>
            <rFont val="Tahoma"/>
            <family val="2"/>
          </rPr>
          <t xml:space="preserve">If you have any questions, please contact us at cityscorecard@aceee.org. 
</t>
        </r>
      </text>
    </comment>
    <comment ref="E26" authorId="0" shapeId="0" xr:uid="{7197CD7A-94EC-47D3-85C4-D08528250316}">
      <text>
        <r>
          <rPr>
            <b/>
            <sz val="9"/>
            <color indexed="81"/>
            <rFont val="Tahoma"/>
            <family val="2"/>
          </rPr>
          <t>ACEEE:</t>
        </r>
        <r>
          <rPr>
            <sz val="9"/>
            <color indexed="81"/>
            <rFont val="Tahoma"/>
            <family val="2"/>
          </rPr>
          <t xml:space="preserve">
</t>
        </r>
        <r>
          <rPr>
            <sz val="10"/>
            <color indexed="81"/>
            <rFont val="Tahoma"/>
            <family val="2"/>
          </rPr>
          <t>Because there is no centralized source for this data, users must compile research on the major electric utility that serves the community. If your community is served by a utility already included in the City Clean Energy Scorecard, you can find their data on our State and Local Policy Database. Otherwise, please contact the utility directly for data.</t>
        </r>
      </text>
    </comment>
    <comment ref="B27" authorId="1" shapeId="0" xr:uid="{EB573A88-475D-4A8C-9910-5633139F5796}">
      <text>
        <r>
          <rPr>
            <b/>
            <sz val="10"/>
            <color indexed="8"/>
            <rFont val="Tahoma"/>
            <family val="2"/>
          </rPr>
          <t>ACEEE:</t>
        </r>
        <r>
          <rPr>
            <sz val="10"/>
            <color indexed="8"/>
            <rFont val="Tahoma"/>
            <family val="2"/>
          </rPr>
          <t xml:space="preserve">
Please enter the GHG emissions data for the year entered in E17. 
If you have any questions, please contact us at cityscorecard@aceee.org. </t>
        </r>
      </text>
    </comment>
    <comment ref="E27" authorId="0" shapeId="0" xr:uid="{13AE64AF-F642-4F18-8353-DD4A99E04806}">
      <text>
        <r>
          <rPr>
            <b/>
            <sz val="9"/>
            <color indexed="81"/>
            <rFont val="Tahoma"/>
            <family val="2"/>
          </rPr>
          <t>ACEEE:</t>
        </r>
        <r>
          <rPr>
            <sz val="9"/>
            <color indexed="81"/>
            <rFont val="Tahoma"/>
            <family val="2"/>
          </rPr>
          <t xml:space="preserve">
</t>
        </r>
        <r>
          <rPr>
            <sz val="10"/>
            <color indexed="81"/>
            <rFont val="Tahoma"/>
            <family val="2"/>
          </rPr>
          <t>Because there is no centralized source for this data, users must compile research on the major electric utility that serves the community. If your community is served by a utility already included in the City Clean Energy Scorecard, you can find their data on our State and Local Policy Database. Otherwise, please contact the utility directly for data.</t>
        </r>
      </text>
    </comment>
    <comment ref="E28" authorId="0" shapeId="0" xr:uid="{6A0409D5-0922-4679-A3CE-5C2A7D3C0728}">
      <text>
        <r>
          <rPr>
            <b/>
            <sz val="9"/>
            <color indexed="81"/>
            <rFont val="Tahoma"/>
            <family val="2"/>
          </rPr>
          <t>ACEEE:</t>
        </r>
        <r>
          <rPr>
            <sz val="9"/>
            <color indexed="81"/>
            <rFont val="Tahoma"/>
            <family val="2"/>
          </rPr>
          <t xml:space="preserve">
</t>
        </r>
        <r>
          <rPr>
            <sz val="10"/>
            <color indexed="81"/>
            <rFont val="Tahoma"/>
            <family val="2"/>
          </rPr>
          <t>Because there is no centralized source for this data, users must compile research on the major electric utility that serves the community. If your community is served by a utility already included in the City Clean Energy Scorecard, you can find their data on our State and Local Policy Database. Otherwise, please contact the utility directly for data.</t>
        </r>
      </text>
    </comment>
    <comment ref="E29" authorId="0" shapeId="0" xr:uid="{12389F78-BDBF-444C-AC9C-86A2375DCACD}">
      <text>
        <r>
          <rPr>
            <b/>
            <sz val="9"/>
            <color indexed="81"/>
            <rFont val="Tahoma"/>
            <family val="2"/>
          </rPr>
          <t>ACEEE:</t>
        </r>
        <r>
          <rPr>
            <sz val="9"/>
            <color indexed="81"/>
            <rFont val="Tahoma"/>
            <family val="2"/>
          </rPr>
          <t xml:space="preserve">
</t>
        </r>
        <r>
          <rPr>
            <sz val="10"/>
            <color indexed="81"/>
            <rFont val="Tahoma"/>
            <family val="2"/>
          </rPr>
          <t>Because there is no centralized source for this data, users must compile research on the major electric utility that serves the community. If your community is served by a utility already included in the City Clean Energy Scorecard, you can find their data on our State and Local Policy Database. Otherwise, please contact the utility directly for data.</t>
        </r>
      </text>
    </comment>
    <comment ref="B33" authorId="1" shapeId="0" xr:uid="{00000000-0006-0000-0400-000007000000}">
      <text>
        <r>
          <rPr>
            <b/>
            <sz val="10"/>
            <color rgb="FF000000"/>
            <rFont val="Tahoma"/>
            <family val="2"/>
          </rPr>
          <t>ACEEE:</t>
        </r>
        <r>
          <rPr>
            <sz val="10"/>
            <color rgb="FF000000"/>
            <rFont val="Tahoma"/>
            <family val="2"/>
          </rPr>
          <t xml:space="preserve">
</t>
        </r>
        <r>
          <rPr>
            <sz val="10"/>
            <color rgb="FF000000"/>
            <rFont val="Tahoma"/>
            <family val="2"/>
          </rPr>
          <t>The answer is automatically calculated from the preliminary information you provided above, but please select the description in column D that best fits the answer.</t>
        </r>
      </text>
    </comment>
    <comment ref="B34" authorId="0" shapeId="0" xr:uid="{C2AB5CAE-5E4C-46A6-81FA-B97F55F49F80}">
      <text>
        <r>
          <rPr>
            <b/>
            <sz val="9"/>
            <color rgb="FF000000"/>
            <rFont val="Tahoma"/>
            <family val="2"/>
          </rPr>
          <t>ACEEE:</t>
        </r>
        <r>
          <rPr>
            <sz val="9"/>
            <color rgb="FF000000"/>
            <rFont val="Tahoma"/>
            <family val="2"/>
          </rPr>
          <t xml:space="preserve">
</t>
        </r>
        <r>
          <rPr>
            <sz val="10"/>
            <color rgb="FF000000"/>
            <rFont val="Tahoma"/>
            <family val="2"/>
          </rPr>
          <t xml:space="preserve">The answer is automatically calculated from the preliminary information you provided above, but please select the description in column D that best fits the answer.
</t>
        </r>
      </text>
    </comment>
    <comment ref="B35" authorId="1" shapeId="0" xr:uid="{00000000-0006-0000-0400-000008000000}">
      <text>
        <r>
          <rPr>
            <b/>
            <sz val="10"/>
            <color rgb="FF000000"/>
            <rFont val="Tahoma"/>
            <family val="2"/>
          </rPr>
          <t>ACEEE:</t>
        </r>
        <r>
          <rPr>
            <sz val="10"/>
            <color rgb="FF000000"/>
            <rFont val="Tahoma"/>
            <family val="2"/>
          </rPr>
          <t xml:space="preserve">
</t>
        </r>
        <r>
          <rPr>
            <sz val="10"/>
            <color rgb="FF000000"/>
            <rFont val="Tahoma"/>
            <family val="2"/>
          </rPr>
          <t>The answer is automatically calculated from the preliminary information you provided above, but please select the description in column D that best fits the answer.</t>
        </r>
      </text>
    </comment>
    <comment ref="B36" authorId="0" shapeId="0" xr:uid="{00000000-0006-0000-0400-000009000000}">
      <text>
        <r>
          <rPr>
            <b/>
            <sz val="9"/>
            <color rgb="FF000000"/>
            <rFont val="Tahoma"/>
            <family val="2"/>
          </rPr>
          <t xml:space="preserve">ACEEE:
</t>
        </r>
        <r>
          <rPr>
            <sz val="10"/>
            <color rgb="FF000000"/>
            <rFont val="Tahoma"/>
            <family val="2"/>
          </rPr>
          <t xml:space="preserve">This can include voluntary partnerships or strategies to coordinate energy efficiency efforts and/or franchise agreements that include energy efficiency components. </t>
        </r>
      </text>
    </comment>
    <comment ref="B37" authorId="0" shapeId="0" xr:uid="{BDBD4788-7E26-4632-9C81-11BEF29EE981}">
      <text>
        <r>
          <rPr>
            <b/>
            <sz val="9"/>
            <color indexed="81"/>
            <rFont val="Tahoma"/>
            <family val="2"/>
          </rPr>
          <t>ACEEE:</t>
        </r>
        <r>
          <rPr>
            <sz val="9"/>
            <color indexed="81"/>
            <rFont val="Tahoma"/>
            <family val="2"/>
          </rPr>
          <t xml:space="preserve">
Cities with both IOUs and munis can earn 1 bonus point if the city and utility are working in partnership with at least one community-based organization (CBO) through a formal strategy, partnership, or program in which the CBO specifically defines and drives policies or programs to direct clean energy resources to households in marginalized communities. To receive this bonus point, cities need to provide details showing that their partnership includes the following elements: 
1) at least one CBO working to define and drive outcomes of the partnership
2) at least one CBO with decision-marking power to impact the outcome of the partnership (i.e., with involvement in the development of the policy of program from the beginning) 
3) accountability measures to ensure that desired outcomes are met</t>
        </r>
      </text>
    </comment>
    <comment ref="B40" authorId="1" shapeId="0" xr:uid="{00000000-0006-0000-0400-00000A000000}">
      <text>
        <r>
          <rPr>
            <b/>
            <sz val="10"/>
            <color rgb="FF000000"/>
            <rFont val="Tahoma"/>
            <family val="2"/>
          </rPr>
          <t>ACEEE:</t>
        </r>
        <r>
          <rPr>
            <sz val="10"/>
            <color rgb="FF000000"/>
            <rFont val="Tahoma"/>
            <family val="2"/>
          </rPr>
          <t xml:space="preserve">
</t>
        </r>
        <r>
          <rPr>
            <sz val="10"/>
            <color rgb="FF000000"/>
            <rFont val="Tahoma"/>
            <family val="2"/>
          </rPr>
          <t>Comprehensive multifamily programs include measures such as insulation and air sealing of building envelopes, upgrades to hot water and HVAC equipment and systems, improved building controls, and lighting efficiency improvements to common areas and individual units.</t>
        </r>
      </text>
    </comment>
    <comment ref="B42" authorId="0" shapeId="0" xr:uid="{00000000-0006-0000-0400-00000C000000}">
      <text>
        <r>
          <rPr>
            <b/>
            <sz val="9"/>
            <color rgb="FF000000"/>
            <rFont val="Tahoma"/>
            <family val="2"/>
          </rPr>
          <t xml:space="preserve">ACEEE: 
</t>
        </r>
        <r>
          <rPr>
            <sz val="9"/>
            <color rgb="FF000000"/>
            <rFont val="Tahoma"/>
            <family val="2"/>
          </rPr>
          <t>In D34,  please select the number of low-income targeted energy efficiency program characteristics that your local government, electric and/or natural gas utility have completed</t>
        </r>
        <r>
          <rPr>
            <b/>
            <sz val="9"/>
            <color rgb="FF000000"/>
            <rFont val="Tahoma"/>
            <family val="2"/>
          </rPr>
          <t xml:space="preserve">. 
</t>
        </r>
        <r>
          <rPr>
            <sz val="9"/>
            <color rgb="FF000000"/>
            <rFont val="Tahoma"/>
            <family val="2"/>
          </rPr>
          <t xml:space="preserve">Comprehensive low-income programs provide efficiency measures that go beyond direct-install measures to address the whole building envelope.
A portfolio includes more than one program.
</t>
        </r>
      </text>
    </comment>
    <comment ref="B46" authorId="1" shapeId="0" xr:uid="{00000000-0006-0000-0400-00000D000000}">
      <text>
        <r>
          <rPr>
            <b/>
            <sz val="10"/>
            <color rgb="FF000000"/>
            <rFont val="Tahoma"/>
            <family val="2"/>
          </rPr>
          <t>ACEEE:</t>
        </r>
        <r>
          <rPr>
            <sz val="10"/>
            <color rgb="FF000000"/>
            <rFont val="Tahoma"/>
            <family val="2"/>
          </rPr>
          <t xml:space="preserve">
</t>
        </r>
        <r>
          <rPr>
            <sz val="10"/>
            <color indexed="81"/>
            <rFont val="Tahoma"/>
            <family val="2"/>
          </rPr>
          <t>Because energy usage information enables better energy management, utilities' provision of energy data to customers, building owners, and local planners in an accessible, usable format is key. We award credit to local governments that advocate directly to utilities and/or state regulatory commissions for policy improvements related to data access.</t>
        </r>
        <r>
          <rPr>
            <sz val="8"/>
            <color indexed="81"/>
            <rFont val="Tahoma"/>
            <family val="2"/>
          </rPr>
          <t xml:space="preserve">
</t>
        </r>
      </text>
    </comment>
    <comment ref="B47" authorId="1" shapeId="0" xr:uid="{00000000-0006-0000-0400-00000E000000}">
      <text>
        <r>
          <rPr>
            <b/>
            <sz val="10"/>
            <color rgb="FF000000"/>
            <rFont val="Tahoma"/>
            <family val="2"/>
          </rPr>
          <t>ACEEE:</t>
        </r>
        <r>
          <rPr>
            <sz val="10"/>
            <color rgb="FF000000"/>
            <rFont val="Tahoma"/>
            <family val="2"/>
          </rPr>
          <t xml:space="preserve">
</t>
        </r>
        <r>
          <rPr>
            <sz val="10"/>
            <color rgb="FF000000"/>
            <rFont val="Tahoma"/>
            <family val="2"/>
          </rPr>
          <t xml:space="preserve">Communities receive full points if utilities participate in ENERGY STAR’s Automated Benchmarking Service, which uploads data from multiple meters directly to the ENERGY STAR Portfolio Manager. </t>
        </r>
        <r>
          <rPr>
            <sz val="8"/>
            <color rgb="FF000000"/>
            <rFont val="Tahoma"/>
            <family val="2"/>
          </rPr>
          <t xml:space="preserve">
</t>
        </r>
        <r>
          <rPr>
            <sz val="8"/>
            <color rgb="FF000000"/>
            <rFont val="Tahoma"/>
            <family val="2"/>
          </rPr>
          <t xml:space="preserve">
</t>
        </r>
      </text>
    </comment>
    <comment ref="B52" authorId="0" shapeId="0" xr:uid="{00000000-0006-0000-0400-000010000000}">
      <text>
        <r>
          <rPr>
            <b/>
            <sz val="9"/>
            <color rgb="FF000000"/>
            <rFont val="Tahoma"/>
            <family val="2"/>
          </rPr>
          <t xml:space="preserve">ACEEE:
</t>
        </r>
        <r>
          <rPr>
            <sz val="10"/>
            <color rgb="FF000000"/>
            <rFont val="Tahoma"/>
            <family val="2"/>
          </rPr>
          <t xml:space="preserve">Activities and strategies include:
-City submitted comments or was involved in public utility commission proceedings involving renewable energy (e.g. net metering legislation).
-City and energy utility(ies) have a formal partnership to advance the development of renewable energy.
-City has participated in planning efforts with their electric utility to promote renewables or has made additional efforts to encourage more utility-scale renewable generation from the utility.
-City has been directly involved in utilitiy planning efforts around expanding utility-scale renewable generation.
</t>
        </r>
      </text>
    </comment>
    <comment ref="E53" authorId="0" shapeId="0" xr:uid="{0BEF25D0-6138-4A15-954B-43DBD409875C}">
      <text>
        <r>
          <rPr>
            <b/>
            <sz val="10"/>
            <color indexed="81"/>
            <rFont val="Tahoma"/>
            <family val="2"/>
          </rPr>
          <t>ACEEE:</t>
        </r>
        <r>
          <rPr>
            <sz val="10"/>
            <color indexed="81"/>
            <rFont val="Tahoma"/>
            <family val="2"/>
          </rPr>
          <t xml:space="preserve">
The maximum combined number of points a city can score between strategies to decarbonize the grid (cell E52) and CCA efforts (cell E53) is 1.5. 
To account for this, the number of points in cell E53 will automatically update based on your city's score in E52, but this means you MUST complete row 52, or E53 will not calculate correctly. </t>
        </r>
      </text>
    </comment>
    <comment ref="B58" authorId="0" shapeId="0" xr:uid="{30669170-489B-43E1-9F91-F1EF8F53E168}">
      <text>
        <r>
          <rPr>
            <b/>
            <sz val="10"/>
            <color indexed="81"/>
            <rFont val="Tahoma"/>
            <family val="2"/>
          </rPr>
          <t>ACEEE:</t>
        </r>
        <r>
          <rPr>
            <sz val="10"/>
            <color indexed="81"/>
            <rFont val="Tahoma"/>
            <family val="2"/>
          </rPr>
          <t xml:space="preserve">
Deep-saving water efficiency measures go beyond faucet aerators and water saving kits and must involve direct installation and/or rebates for measures such as efficient toilets, washing machines, dishwashers, water heaters, shower heads, irrigation systems, and leak repairs.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ACEEE</author>
    <author>Kate Tanabe</author>
    <author>Alexander Jarrah</author>
  </authors>
  <commentList>
    <comment ref="B13" authorId="0" shapeId="0" xr:uid="{00000000-0006-0000-0100-000002000000}">
      <text>
        <r>
          <rPr>
            <b/>
            <sz val="10"/>
            <color rgb="FF000000"/>
            <rFont val="Tahoma"/>
            <family val="2"/>
          </rPr>
          <t>ACEEE:</t>
        </r>
        <r>
          <rPr>
            <sz val="10"/>
            <color rgb="FF000000"/>
            <rFont val="Tahoma"/>
            <family val="2"/>
          </rPr>
          <t xml:space="preserve">
</t>
        </r>
        <r>
          <rPr>
            <sz val="10"/>
            <color rgb="FF000000"/>
            <rFont val="Tahoma"/>
            <family val="2"/>
          </rPr>
          <t xml:space="preserve">Please enter the nearest target year of your city's goal. For example, if your city has goals to reduce energy use by 2020, 2030, and 2050, enter 2020. 
</t>
        </r>
        <r>
          <rPr>
            <sz val="10"/>
            <color rgb="FF000000"/>
            <rFont val="Tahoma"/>
            <family val="2"/>
          </rPr>
          <t xml:space="preserve">
</t>
        </r>
        <r>
          <rPr>
            <sz val="10"/>
            <color rgb="FF000000"/>
            <rFont val="Tahoma"/>
            <family val="2"/>
          </rPr>
          <t xml:space="preserve">If your community has an annual reduction goal, please contact us at cityscorecard@aceee.org for assistance in calculating the appropriate values.  </t>
        </r>
      </text>
    </comment>
    <comment ref="B14" authorId="0" shapeId="0" xr:uid="{00000000-0006-0000-0100-000003000000}">
      <text>
        <r>
          <rPr>
            <b/>
            <sz val="10"/>
            <color rgb="FF000000"/>
            <rFont val="Tahoma"/>
            <family val="2"/>
          </rPr>
          <t>ACEEE:</t>
        </r>
        <r>
          <rPr>
            <sz val="10"/>
            <color rgb="FF000000"/>
            <rFont val="Tahoma"/>
            <family val="2"/>
          </rPr>
          <t xml:space="preserve">
</t>
        </r>
        <r>
          <rPr>
            <sz val="10"/>
            <color rgb="FF000000"/>
            <rFont val="Tahoma"/>
            <family val="2"/>
          </rPr>
          <t xml:space="preserve">The formula is set up to calculate a cumulative energy efficiency or greenhouse gas emissions reduction goal. If your city has a per capita, annual, or energy intensity goal, please contact us at cityscorecard@aceee.org for assistance in calculating the appropriate values.  </t>
        </r>
      </text>
    </comment>
    <comment ref="B15" authorId="1" shapeId="0" xr:uid="{075B0B14-34C2-4C80-BFA0-85513E899BF8}">
      <text>
        <r>
          <rPr>
            <b/>
            <sz val="10"/>
            <color indexed="81"/>
            <rFont val="Tahoma"/>
            <family val="2"/>
          </rPr>
          <t>ACEEE:</t>
        </r>
        <r>
          <rPr>
            <sz val="10"/>
            <color indexed="81"/>
            <rFont val="Tahoma"/>
            <family val="2"/>
          </rPr>
          <t xml:space="preserve">
For your city's renewable energy goal, please ensure the baseline year data matches the adoption year data.</t>
        </r>
      </text>
    </comment>
    <comment ref="B17" authorId="0" shapeId="0" xr:uid="{00000000-0006-0000-0100-000005000000}">
      <text>
        <r>
          <rPr>
            <b/>
            <sz val="10"/>
            <color rgb="FF000000"/>
            <rFont val="Tahoma"/>
            <family val="2"/>
          </rPr>
          <t>ACEEE:</t>
        </r>
        <r>
          <rPr>
            <sz val="10"/>
            <color rgb="FF000000"/>
            <rFont val="Tahoma"/>
            <family val="2"/>
          </rPr>
          <t xml:space="preserve">
If you don't have energy consumption or GHG emissions data available for the adoption year, then please provide the most recent year for which you have available data. The data should be pulled from the year that was entered in C16, D16, or E16.
For renewable energy generation share, we characterize cities' grid mix using what is considered renewable in their city and/or state. If your city has adopted a carbon-free goal, you should enter the share of electricity that is carbon free. 
If you have any questions, please contact us at cityscorecard@aceee.org. 
</t>
        </r>
      </text>
    </comment>
    <comment ref="B18" authorId="0" shapeId="0" xr:uid="{00000000-0006-0000-0100-000006000000}">
      <text>
        <r>
          <rPr>
            <b/>
            <sz val="10"/>
            <color rgb="FF000000"/>
            <rFont val="Tahoma"/>
            <family val="2"/>
          </rPr>
          <t>ACEEE:</t>
        </r>
        <r>
          <rPr>
            <sz val="10"/>
            <color rgb="FF000000"/>
            <rFont val="Tahoma"/>
            <family val="2"/>
          </rPr>
          <t xml:space="preserve">
The year entered in C18, D18, or E18 must be more recent than the adoption year (C16, D16, or E16). 
If you have any questions, please contact us at cityscorecard@aceee.org. 
</t>
        </r>
      </text>
    </comment>
    <comment ref="G20" authorId="2" shapeId="0" xr:uid="{5F34F4B0-9831-467C-9605-EB4B125B5334}">
      <text>
        <r>
          <rPr>
            <b/>
            <sz val="9"/>
            <color indexed="81"/>
            <rFont val="Tahoma"/>
            <family val="2"/>
          </rPr>
          <t xml:space="preserve">ACEEE: 
</t>
        </r>
        <r>
          <rPr>
            <sz val="10"/>
            <color indexed="81"/>
            <rFont val="Tahoma"/>
            <family val="2"/>
          </rPr>
          <t>If your adoption year falls on a census year (i.e. 2000, 2010), please use census numbers</t>
        </r>
        <r>
          <rPr>
            <sz val="9"/>
            <color indexed="81"/>
            <rFont val="Tahoma"/>
            <family val="2"/>
          </rPr>
          <t xml:space="preserve">
</t>
        </r>
      </text>
    </comment>
    <comment ref="B24" authorId="0" shapeId="0" xr:uid="{00000000-0006-0000-0100-000008000000}">
      <text>
        <r>
          <rPr>
            <b/>
            <sz val="10"/>
            <color rgb="FF000000"/>
            <rFont val="Tahoma"/>
            <family val="2"/>
          </rPr>
          <t>ACEEE:</t>
        </r>
        <r>
          <rPr>
            <sz val="10"/>
            <color rgb="FF000000"/>
            <rFont val="Tahoma"/>
            <family val="2"/>
          </rPr>
          <t xml:space="preserve">
</t>
        </r>
        <r>
          <rPr>
            <sz val="10"/>
            <color rgb="FF000000"/>
            <rFont val="Tahoma"/>
            <family val="2"/>
          </rPr>
          <t xml:space="preserve">To calculate stringency, we determined the average annual energy or GHG emissions reduction needed to achieve your nearest target. We controlled for the baseline year and used the adoption year or most recent year of available data to avoid inflating the savings achieved. 
</t>
        </r>
        <r>
          <rPr>
            <sz val="10"/>
            <color rgb="FF000000"/>
            <rFont val="Tahoma"/>
            <family val="2"/>
          </rPr>
          <t xml:space="preserve">
</t>
        </r>
        <r>
          <rPr>
            <sz val="10"/>
            <color rgb="FF000000"/>
            <rFont val="Tahoma"/>
            <family val="2"/>
          </rPr>
          <t>If you have any questions about how this is calculated, please contact us at cityscorecard@aceee.org.</t>
        </r>
      </text>
    </comment>
    <comment ref="B28" authorId="0" shapeId="0" xr:uid="{00000000-0006-0000-0100-00000A000000}">
      <text>
        <r>
          <rPr>
            <b/>
            <sz val="10"/>
            <color rgb="FF000000"/>
            <rFont val="Tahoma"/>
            <family val="2"/>
          </rPr>
          <t>ACEEE:</t>
        </r>
        <r>
          <rPr>
            <sz val="10"/>
            <color rgb="FF000000"/>
            <rFont val="Tahoma"/>
            <family val="2"/>
          </rPr>
          <t xml:space="preserve">
</t>
        </r>
        <r>
          <rPr>
            <sz val="10"/>
            <color rgb="FF000000"/>
            <rFont val="Tahoma"/>
            <family val="2"/>
          </rPr>
          <t xml:space="preserve">To calculate stringency, we determined the average annual energy or GHG emissions reduction needed to achieve your nearest target. We controlled for the baseline year and used the adoption year or most recent year of available data to avoid inflating the savings achieved. 
</t>
        </r>
        <r>
          <rPr>
            <sz val="10"/>
            <color rgb="FF000000"/>
            <rFont val="Tahoma"/>
            <family val="2"/>
          </rPr>
          <t xml:space="preserve">
</t>
        </r>
        <r>
          <rPr>
            <sz val="10"/>
            <color rgb="FF000000"/>
            <rFont val="Tahoma"/>
            <family val="2"/>
          </rPr>
          <t>If you have any questions about how this is calculated, please contact us at cityscorecard@aceee.org.</t>
        </r>
      </text>
    </comment>
    <comment ref="B29" authorId="0" shapeId="0" xr:uid="{00000000-0006-0000-0100-00000B000000}">
      <text>
        <r>
          <rPr>
            <b/>
            <sz val="10"/>
            <color rgb="FF000000"/>
            <rFont val="Tahoma"/>
            <family val="2"/>
          </rPr>
          <t>ACEEE:</t>
        </r>
        <r>
          <rPr>
            <sz val="10"/>
            <color rgb="FF000000"/>
            <rFont val="Tahoma"/>
            <family val="2"/>
          </rPr>
          <t xml:space="preserve">
We evaluated cities on the basis of their progress toward the most imminent future goal. To be considered on track, the number calculated in C31 must exceed the target % that was inserted in cell E14. </t>
        </r>
      </text>
    </comment>
    <comment ref="B39" authorId="1" shapeId="0" xr:uid="{00000000-0006-0000-0100-00000E000000}">
      <text>
        <r>
          <rPr>
            <b/>
            <sz val="9"/>
            <color rgb="FF000000"/>
            <rFont val="Tahoma"/>
            <family val="2"/>
          </rPr>
          <t xml:space="preserve">ACEEE:
</t>
        </r>
        <r>
          <rPr>
            <sz val="10"/>
            <color indexed="81"/>
            <rFont val="Tahoma"/>
            <family val="2"/>
          </rPr>
          <t xml:space="preserve">Because alternative fuels are not inherently energy saving, we do not consider alternative fuels for points in this metric. </t>
        </r>
        <r>
          <rPr>
            <sz val="10"/>
            <color rgb="FF339966"/>
            <rFont val="Tahoma"/>
            <family val="2"/>
          </rPr>
          <t xml:space="preserve">
</t>
        </r>
      </text>
    </comment>
    <comment ref="B40" authorId="1" shapeId="0" xr:uid="{00000000-0006-0000-0100-00000F000000}">
      <text>
        <r>
          <rPr>
            <b/>
            <sz val="9"/>
            <color indexed="81"/>
            <rFont val="Tahoma"/>
            <family val="2"/>
          </rPr>
          <t>ACEEE:</t>
        </r>
        <r>
          <rPr>
            <sz val="9"/>
            <color indexed="81"/>
            <rFont val="Tahoma"/>
            <family val="2"/>
          </rPr>
          <t xml:space="preserve">
</t>
        </r>
        <r>
          <rPr>
            <sz val="10"/>
            <color indexed="81"/>
            <rFont val="Tahoma"/>
            <family val="2"/>
          </rPr>
          <t xml:space="preserve">A standard based on the Model Lighting Ordinance, developed by the Illuminating Engineering Society and the International Dark-Sky Association, reflects best practice. To receive full credit, the policy must have a lighting controls provision that prohibits the use of lighting when daylight is available. </t>
        </r>
      </text>
    </comment>
    <comment ref="B41" authorId="1" shapeId="0" xr:uid="{00000000-0006-0000-0100-000010000000}">
      <text>
        <r>
          <rPr>
            <b/>
            <sz val="9"/>
            <color rgb="FF000000"/>
            <rFont val="Tahoma"/>
            <family val="2"/>
          </rPr>
          <t xml:space="preserve">ACEEE:
</t>
        </r>
        <r>
          <rPr>
            <sz val="10"/>
            <color indexed="81"/>
            <rFont val="Tahoma"/>
            <family val="2"/>
          </rPr>
          <t xml:space="preserve">This metric is directed toward streetlights only, as new traffic lights are now required by federal law to be of LED-equivalent efficiency. Thus, we do not credit the conversion of traffic signals to LED. </t>
        </r>
      </text>
    </comment>
    <comment ref="B43" authorId="1" shapeId="0" xr:uid="{45CDEE23-7369-40F1-B61B-C2814160E5F1}">
      <text>
        <r>
          <rPr>
            <b/>
            <sz val="9"/>
            <color indexed="81"/>
            <rFont val="Tahoma"/>
            <family val="2"/>
          </rPr>
          <t>ACEEE:</t>
        </r>
        <r>
          <rPr>
            <sz val="9"/>
            <color indexed="81"/>
            <rFont val="Tahoma"/>
            <family val="2"/>
          </rPr>
          <t xml:space="preserve">
Inclusive procurement or contracting policies are those that provide a contracting preference for minority- and women-owned business enterprises.</t>
        </r>
      </text>
    </comment>
    <comment ref="B48" authorId="0" shapeId="0" xr:uid="{00000000-0006-0000-0100-000013000000}">
      <text>
        <r>
          <rPr>
            <b/>
            <sz val="10"/>
            <color rgb="FF000000"/>
            <rFont val="Tahoma"/>
            <family val="2"/>
          </rPr>
          <t>ACEEE:</t>
        </r>
        <r>
          <rPr>
            <sz val="10"/>
            <color rgb="FF000000"/>
            <rFont val="Tahoma"/>
            <family val="2"/>
          </rPr>
          <t xml:space="preserve">
Strategic approaches may include continually reviewing, benchmarking, or analyzing building energy performance with a goal of making improvements; adopting a comprehensive policy around energy efficiency that covers all departments; participating in a strategic energy management program for all departments; employing a formal energy manager that oversees or coordinates energy efficiency efforts across all departments.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Alexander Jarrah</author>
  </authors>
  <commentList>
    <comment ref="B191" authorId="0" shapeId="0" xr:uid="{22F5D66E-DE21-42B7-9353-1EBBDBA6FE32}">
      <text>
        <r>
          <rPr>
            <b/>
            <sz val="9"/>
            <color indexed="81"/>
            <rFont val="Tahoma"/>
            <family val="2"/>
          </rPr>
          <t>Alexander Jarrah:</t>
        </r>
        <r>
          <rPr>
            <sz val="9"/>
            <color indexed="81"/>
            <rFont val="Tahoma"/>
            <family val="2"/>
          </rPr>
          <t xml:space="preserve">
Target emissions = Year of baseline emissions * (1-Targeted percent reduction)</t>
        </r>
      </text>
    </comment>
    <comment ref="C191" authorId="0" shapeId="0" xr:uid="{39470AD5-7872-48B2-9D20-A6E00D55531C}">
      <text>
        <r>
          <rPr>
            <b/>
            <sz val="9"/>
            <color indexed="81"/>
            <rFont val="Tahoma"/>
            <family val="2"/>
          </rPr>
          <t>Alexander Jarrah:</t>
        </r>
        <r>
          <rPr>
            <sz val="9"/>
            <color indexed="81"/>
            <rFont val="Tahoma"/>
            <family val="2"/>
          </rPr>
          <t xml:space="preserve">
Target emissions per capita = Target emissions / target year population</t>
        </r>
      </text>
    </comment>
    <comment ref="D191" authorId="0" shapeId="0" xr:uid="{26CBB57C-43D6-4BAE-8EE3-87B2C9774CF3}">
      <text>
        <r>
          <rPr>
            <b/>
            <sz val="9"/>
            <color indexed="81"/>
            <rFont val="Tahoma"/>
            <family val="2"/>
          </rPr>
          <t>Alexander Jarrah:</t>
        </r>
        <r>
          <rPr>
            <sz val="9"/>
            <color indexed="81"/>
            <rFont val="Tahoma"/>
            <family val="2"/>
          </rPr>
          <t xml:space="preserve">
Actual reduction = (Emissions per capita in adoption year - target per capita emissions) / Emissions per capita in adoption year</t>
        </r>
      </text>
    </comment>
    <comment ref="E191" authorId="0" shapeId="0" xr:uid="{270FF098-01E3-4F4A-87B2-8292EA0B1631}">
      <text>
        <r>
          <rPr>
            <b/>
            <sz val="9"/>
            <color indexed="81"/>
            <rFont val="Tahoma"/>
            <family val="2"/>
          </rPr>
          <t>Alexander Jarrah:</t>
        </r>
        <r>
          <rPr>
            <sz val="9"/>
            <color indexed="81"/>
            <rFont val="Tahoma"/>
            <family val="2"/>
          </rPr>
          <t xml:space="preserve">
Stringency percentage = Actual reduction / (Target year - adoption year)</t>
        </r>
      </text>
    </comment>
    <comment ref="B200" authorId="0" shapeId="0" xr:uid="{8EE75EFB-7431-46DC-A808-629A7488C08F}">
      <text>
        <r>
          <rPr>
            <b/>
            <sz val="9"/>
            <color indexed="81"/>
            <rFont val="Tahoma"/>
            <family val="2"/>
          </rPr>
          <t>Alexander Jarrah:</t>
        </r>
        <r>
          <rPr>
            <sz val="9"/>
            <color indexed="81"/>
            <rFont val="Tahoma"/>
            <family val="2"/>
          </rPr>
          <t xml:space="preserve">
Target emissions = Year of baseline emissions * Targeted percent reduction</t>
        </r>
      </text>
    </comment>
    <comment ref="C200" authorId="0" shapeId="0" xr:uid="{45102292-C345-4B89-ABC5-084EBFC98A3C}">
      <text>
        <r>
          <rPr>
            <b/>
            <sz val="9"/>
            <color indexed="81"/>
            <rFont val="Tahoma"/>
            <family val="2"/>
          </rPr>
          <t>Alexander Jarrah:</t>
        </r>
        <r>
          <rPr>
            <sz val="9"/>
            <color indexed="81"/>
            <rFont val="Tahoma"/>
            <family val="2"/>
          </rPr>
          <t xml:space="preserve">
Target emissions per capita = Target emissions / target year population</t>
        </r>
      </text>
    </comment>
    <comment ref="D200" authorId="0" shapeId="0" xr:uid="{FF642859-863A-4495-AA9D-29B61073F06E}">
      <text>
        <r>
          <rPr>
            <b/>
            <sz val="9"/>
            <color indexed="81"/>
            <rFont val="Tahoma"/>
            <family val="2"/>
          </rPr>
          <t>Alexander Jarrah:</t>
        </r>
        <r>
          <rPr>
            <sz val="9"/>
            <color indexed="81"/>
            <rFont val="Tahoma"/>
            <family val="2"/>
          </rPr>
          <t xml:space="preserve">
Actual reduction = (Emissions per capita in adoption year - target per capita emissions) / Emissions per capita in adoption year</t>
        </r>
      </text>
    </comment>
    <comment ref="E200" authorId="0" shapeId="0" xr:uid="{9194CAF1-77DD-44CB-91C8-02DA48673D08}">
      <text>
        <r>
          <rPr>
            <b/>
            <sz val="9"/>
            <color indexed="81"/>
            <rFont val="Tahoma"/>
            <family val="2"/>
          </rPr>
          <t>Alexander Jarrah:</t>
        </r>
        <r>
          <rPr>
            <sz val="9"/>
            <color indexed="81"/>
            <rFont val="Tahoma"/>
            <family val="2"/>
          </rPr>
          <t xml:space="preserve">
Stringency percentage = Actual reduction / (Target year - adoption year)</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<sst xmlns="http://schemas.openxmlformats.org/spreadsheetml/2006/main" count="2785" uniqueCount="1593">
  <si>
    <t>Local Clean Energy Self-Scoring Tool, Version 6.0</t>
  </si>
  <si>
    <t>Last Update: 4/19/2022</t>
  </si>
  <si>
    <t>Community name:</t>
  </si>
  <si>
    <t>Instructions: To be modified from overview and helpful hints of User Guide</t>
  </si>
  <si>
    <t>Automatically Populated Cell</t>
  </si>
  <si>
    <t>Manual Entry Cell</t>
  </si>
  <si>
    <t>© 2022 ACEEE</t>
  </si>
  <si>
    <t>Metric</t>
  </si>
  <si>
    <t>Equity-focused</t>
  </si>
  <si>
    <t>Performance</t>
  </si>
  <si>
    <t>Smart growth</t>
  </si>
  <si>
    <t>Possible points</t>
  </si>
  <si>
    <t>Community-wide initiatives</t>
  </si>
  <si>
    <t>Community-wide climate goal stringency</t>
  </si>
  <si>
    <t>No</t>
  </si>
  <si>
    <t>Community-wide climate goal progress</t>
  </si>
  <si>
    <t>Yes</t>
  </si>
  <si>
    <t xml:space="preserve">Community-wide energy efficiency goal stringency </t>
  </si>
  <si>
    <t>Community-wide renewable energy goal stringency and renewable energy supply</t>
  </si>
  <si>
    <t>Equity-driven community engagement</t>
  </si>
  <si>
    <t>Equity-driven decision making</t>
  </si>
  <si>
    <t>Accountability for social equity</t>
  </si>
  <si>
    <t>Support for carbon-reducing technologies in microgrids and district energy systems</t>
  </si>
  <si>
    <t>Support for shared community solar systems</t>
  </si>
  <si>
    <t>Equity-driven approach to shared distributed energy systems</t>
  </si>
  <si>
    <t>Heat island mitigation goals</t>
  </si>
  <si>
    <t>Heat island mitigation policies and programs</t>
  </si>
  <si>
    <t>Residential and commercial codes</t>
  </si>
  <si>
    <t>Renewable readiness</t>
  </si>
  <si>
    <t>Building EV readiness</t>
  </si>
  <si>
    <t>EV-charging readiness and infrastructure</t>
  </si>
  <si>
    <t>Low-energy-use requirements</t>
  </si>
  <si>
    <t>Dedicated staffing for building energy code compliance</t>
  </si>
  <si>
    <t>Energy code compliance strategies</t>
  </si>
  <si>
    <t>Upfront support for building energy code compliance</t>
  </si>
  <si>
    <t>Building energy efficiency incentives</t>
  </si>
  <si>
    <t>1*</t>
  </si>
  <si>
    <t>Building renewable energy incentives</t>
  </si>
  <si>
    <t>Low-income energy incentive and financing programs</t>
  </si>
  <si>
    <t xml:space="preserve">Affordability requirements in energy incentive and financing programs </t>
  </si>
  <si>
    <t>0.5*</t>
  </si>
  <si>
    <t>Building performance standards</t>
  </si>
  <si>
    <t>4.5*</t>
  </si>
  <si>
    <t>Building performance standards for affordable housing</t>
  </si>
  <si>
    <t>1.5*</t>
  </si>
  <si>
    <t>Retrofit requirements</t>
  </si>
  <si>
    <t>3*</t>
  </si>
  <si>
    <t>Retrocommissioning requirements</t>
  </si>
  <si>
    <t>Building crosscutting requirements</t>
  </si>
  <si>
    <t>2*</t>
  </si>
  <si>
    <t>Energy audit requirements</t>
  </si>
  <si>
    <t>Building voluntary programs</t>
  </si>
  <si>
    <t>Benchmarking requirements</t>
  </si>
  <si>
    <t>Benchmarking compliance</t>
  </si>
  <si>
    <t>Commercial rental energy disclosure policy</t>
  </si>
  <si>
    <t>Residential rental energy disclosure policy</t>
  </si>
  <si>
    <t>Other building energy-saving requirements</t>
  </si>
  <si>
    <t>Energy efficiency workforce development</t>
  </si>
  <si>
    <t>Inclusive energy efficiency workforce development</t>
  </si>
  <si>
    <t>Renewable energy workforce development</t>
  </si>
  <si>
    <t>Inclusive renewable energy workforce development</t>
  </si>
  <si>
    <t>Transportation policies</t>
  </si>
  <si>
    <t>Sustainable transportation plan</t>
  </si>
  <si>
    <t>Codified VMT/GHG targets</t>
  </si>
  <si>
    <t>Stringency of VMT/GHG targets</t>
  </si>
  <si>
    <t>Progress achieved toward VMT/GHG goal</t>
  </si>
  <si>
    <t>Location-efficient zoning codes</t>
  </si>
  <si>
    <t>Parking requirements</t>
  </si>
  <si>
    <t>Location efficiency incentive programs and disclosure policies</t>
  </si>
  <si>
    <t>Mode shift targets</t>
  </si>
  <si>
    <t>Progress toward mode shift target</t>
  </si>
  <si>
    <t>Complete streets</t>
  </si>
  <si>
    <t>Bicycle system efficiency and connectivity</t>
  </si>
  <si>
    <t>Transit funding</t>
  </si>
  <si>
    <t>Transit performance</t>
  </si>
  <si>
    <t>Vehicle charging infrastructure incentives</t>
  </si>
  <si>
    <t>Efficient vehicle purchase incentives</t>
  </si>
  <si>
    <t>Number of EV charging station ports</t>
  </si>
  <si>
    <t>Electric school bus goal</t>
  </si>
  <si>
    <t>Electric transit bus goal</t>
  </si>
  <si>
    <t>Sustainable freight plans and strategies</t>
  </si>
  <si>
    <t>Low-income housing around transit</t>
  </si>
  <si>
    <t>Subsidized access to efficient transportation options</t>
  </si>
  <si>
    <t>Low-income access to high-quality transit</t>
  </si>
  <si>
    <t>Equitable EV infrastructure deployment (bonus)</t>
  </si>
  <si>
    <t>Congestion pricing (bonus)</t>
  </si>
  <si>
    <t>Energy and water utilities</t>
  </si>
  <si>
    <t xml:space="preserve">Electric and natural gas efficiency savings </t>
  </si>
  <si>
    <t>Low-income energy efficiency programs</t>
  </si>
  <si>
    <t>Yes**</t>
  </si>
  <si>
    <t>Comprehensive multifamily energy efficiency program</t>
  </si>
  <si>
    <t>No**</t>
  </si>
  <si>
    <t>Affordable multifamily program</t>
  </si>
  <si>
    <t>Equitable utility energy efficiency partnerships (bonus)</t>
  </si>
  <si>
    <t>Utility automated benchmarking program</t>
  </si>
  <si>
    <t>Community energy data</t>
  </si>
  <si>
    <t>Energy data advocacy</t>
  </si>
  <si>
    <t>City-led actions to decarbonize electric grid</t>
  </si>
  <si>
    <t>Electric utility climate goal stringency</t>
  </si>
  <si>
    <t>Joint water–energy programs</t>
  </si>
  <si>
    <t>Water savings strategy</t>
  </si>
  <si>
    <t>Water utility energy efficiency strategies</t>
  </si>
  <si>
    <t>Water utility energy recovery and renewables</t>
  </si>
  <si>
    <t>Local government operations</t>
  </si>
  <si>
    <t>Local government climate goal stringency</t>
  </si>
  <si>
    <t>Local government climate goal progress</t>
  </si>
  <si>
    <t>Local government renewable energy goal stringency</t>
  </si>
  <si>
    <t xml:space="preserve">Local government energy efficiency goal stringency </t>
  </si>
  <si>
    <t>Fleet composition</t>
  </si>
  <si>
    <t>Fleet procurement policy</t>
  </si>
  <si>
    <t>Efficient public lighting performance</t>
  </si>
  <si>
    <t>Efficient public lighting policy</t>
  </si>
  <si>
    <t>Onsite renewable energy systems</t>
  </si>
  <si>
    <t>Inclusive procurement and contracting</t>
  </si>
  <si>
    <t>Municipal building energy benchmarking</t>
  </si>
  <si>
    <t>Municipal building retrofit strategies</t>
  </si>
  <si>
    <t>Local government GHG emissions per capita</t>
  </si>
  <si>
    <t>Community-wide GHG emissions per capita</t>
  </si>
  <si>
    <t>Transportation VMT or GHG emissions per capita</t>
  </si>
  <si>
    <t xml:space="preserve">Community-wide initiatives </t>
  </si>
  <si>
    <t>Community-wide initiatives total</t>
  </si>
  <si>
    <t>Energy reduction, renewable energy, and climate change mitigation goals for community</t>
  </si>
  <si>
    <t>Distributed energy systems</t>
  </si>
  <si>
    <t>Equitable climate action and energy planning</t>
  </si>
  <si>
    <t>Mitigation of urban heat islands</t>
  </si>
  <si>
    <t>Preliminary information</t>
  </si>
  <si>
    <t>Recommended source</t>
  </si>
  <si>
    <t>Question</t>
  </si>
  <si>
    <t>Renewable energy goal information</t>
  </si>
  <si>
    <t>Energy reduction goal information</t>
  </si>
  <si>
    <t>Climate change mitigation goal information</t>
  </si>
  <si>
    <t xml:space="preserve">What is the nearest target year of your city's goal? </t>
  </si>
  <si>
    <t>Community research</t>
  </si>
  <si>
    <t>What is the reduction target in the nearest target year? For your city's renewable energy goal, what is the target renewable energy generation share (e.g., 10%, 20%, 30%)?</t>
  </si>
  <si>
    <t xml:space="preserve">In what year did your city adopt the goal? </t>
  </si>
  <si>
    <t xml:space="preserve">For your city's GHG reduction goal, what is the most recent year for which your city has data available?  </t>
  </si>
  <si>
    <t>No data needed</t>
  </si>
  <si>
    <t>American Community Survey One-Year Estimates</t>
  </si>
  <si>
    <t>What is your city's projected population in the target year?</t>
  </si>
  <si>
    <t>Renewable energy goals</t>
  </si>
  <si>
    <t>Answer
(Document programs and policies)</t>
  </si>
  <si>
    <t>Scoring criteria
(Select best option from drop-down)</t>
  </si>
  <si>
    <t>Score</t>
  </si>
  <si>
    <t>Existence of goals</t>
  </si>
  <si>
    <t>Does your city have a community-wide renewable energy goal or a related target?</t>
  </si>
  <si>
    <t>Not scored</t>
  </si>
  <si>
    <t>Initial renewable energy supply</t>
  </si>
  <si>
    <t>What percentage of electricity was supplied by renewable energy in the adoption year of the goal?</t>
  </si>
  <si>
    <t>Stringency of goals</t>
  </si>
  <si>
    <t>What is the per household renewable energy conversion required to meet the goal?</t>
  </si>
  <si>
    <t>Energy efficiency goals</t>
  </si>
  <si>
    <t>Does your city have a community-wide energy efficiency goal or a related target?</t>
  </si>
  <si>
    <t>What are the average annual energy savings required to meet the goal?</t>
  </si>
  <si>
    <t>Climate change mitigation goal</t>
  </si>
  <si>
    <t xml:space="preserve">Does your city have a community-wide greenhouse gas reduction goal or a related target? </t>
  </si>
  <si>
    <t>What are the average annual greenhouse gas savings required to meet the goal?</t>
  </si>
  <si>
    <t>Progress toward goals</t>
  </si>
  <si>
    <t>If the city has adopted a community-wide greenhouse gas reduction target, is it on track to achieve it?</t>
  </si>
  <si>
    <t>District Energy Systems</t>
  </si>
  <si>
    <t>Microgrids</t>
  </si>
  <si>
    <r>
      <t xml:space="preserve">Do city-required or supported </t>
    </r>
    <r>
      <rPr>
        <b/>
        <sz val="12"/>
        <rFont val="Calibri"/>
        <family val="2"/>
        <scheme val="minor"/>
      </rPr>
      <t>microgrids</t>
    </r>
    <r>
      <rPr>
        <sz val="12"/>
        <rFont val="Calibri"/>
        <family val="2"/>
        <scheme val="minor"/>
      </rPr>
      <t xml:space="preserve"> include energy technologies that reduce their carbon footprint? Examples of these technologies include          
(1) Integrated storage
(2) Electric vehicles 
(3) Combined heat and power (CHP) 
(4) Fuel cells
(5) Additional renewable energy technologies</t>
    </r>
  </si>
  <si>
    <t>Community Solar</t>
  </si>
  <si>
    <r>
      <t xml:space="preserve">Has your city adopted a formal policy or rule that requires the creation of one or more </t>
    </r>
    <r>
      <rPr>
        <b/>
        <sz val="12"/>
        <rFont val="Calibri"/>
        <family val="2"/>
        <scheme val="minor"/>
      </rPr>
      <t>community solar systems,</t>
    </r>
    <r>
      <rPr>
        <sz val="12"/>
        <rFont val="Calibri"/>
        <family val="2"/>
        <scheme val="minor"/>
      </rPr>
      <t xml:space="preserve"> or has your city made a formal commitment of financial or in-kind support to create these systems?</t>
    </r>
  </si>
  <si>
    <t xml:space="preserve">Has your city organized its public engagement strategies to increase engagement with marginalized groups? This engagement must offer residents an opportunity to engage in a direct dialogue with climate action, energy, sustainability, or resilience decision-makers and provide their feedback or suggestions regarding an entire plan or multiple initiatives. </t>
  </si>
  <si>
    <t>Equity-driven decision-making</t>
  </si>
  <si>
    <t xml:space="preserve">Has your city given marginalized community residents (or local organizations representing those communities) a formal role (e.g. appointments to city boards, working groups, or committees) in decision-making bodies that allocate or approve funding towards clean energy projects, or affect the creation or implementation of a local energy, sustainability, or climate action plan? These decision-making bodies must be focused on environmental justice or social equity outcomes. </t>
  </si>
  <si>
    <t>Accountability to social equity</t>
  </si>
  <si>
    <t>Has your city adopted structural equity measures that hold local government accountable for actions that will specifically benefit marginalized groups? These could include specific goals, metrics, screening tools, or protocols to track how energy, sustainability, or climate action initiatives are affecting local marginalized groups.</t>
  </si>
  <si>
    <t>Urban heat island mitigation goals</t>
  </si>
  <si>
    <t xml:space="preserve">Has your city formally adopted a quantitative goal to mitigate the urban heat island effect? Goals must be included in formal city plans or ordinances and must specify a future target date or annual commitment. </t>
  </si>
  <si>
    <t>Urban heat island mitigation strategies</t>
  </si>
  <si>
    <t>Has your city implemented any of the following policies aimed at mitigating the urban heat island effect?                   
(1) Green infrastructure policies: Includes low-impact development (LID) requirements or incentives for public and/or private buildings, cool roof/pavement policies, and green roof policies.
(2) Private tree protection ordinances: Includes tree ordinances that require a permit to remove existing trees on private property.
(3) Private tree planting programs: Includes programs that provide trees for private planting at low or no cost. Programs must have procedures in place to account for energy savings from tree plantings. 
(4) Private land conservation policies: Includes conservation subdivision ordinances, cluster house zoning, transfer of development rights policies, and incentives for land conservation or restoration.</t>
  </si>
  <si>
    <t>Policy Step 1</t>
  </si>
  <si>
    <t>Policy Step 2</t>
  </si>
  <si>
    <t>Policy Step 3</t>
  </si>
  <si>
    <t>Total policy area score</t>
  </si>
  <si>
    <t>TO BE HIDDEN</t>
  </si>
  <si>
    <t>Data validation chart</t>
  </si>
  <si>
    <t>Corresponding cell</t>
  </si>
  <si>
    <t>Option #1</t>
  </si>
  <si>
    <t>Option #2</t>
  </si>
  <si>
    <t>Option #3</t>
  </si>
  <si>
    <t>Option #4</t>
  </si>
  <si>
    <t>Greenhouse gas/EE goal</t>
  </si>
  <si>
    <t>D9</t>
  </si>
  <si>
    <t>Energy efficiency goal</t>
  </si>
  <si>
    <t>Greenhouse gas reduction goal</t>
  </si>
  <si>
    <t>Both</t>
  </si>
  <si>
    <t>RE targets</t>
  </si>
  <si>
    <t>D23</t>
  </si>
  <si>
    <t>Yes, the city has formally adopted a community-wide renewable energy target.</t>
  </si>
  <si>
    <t>No, the city has not formally adopted a community-wide renewable energy target or a target for a neighborhood, district, or sector.</t>
  </si>
  <si>
    <t xml:space="preserve">The City has not yet engaged stakeholder groups or engaged in a planning process to set goals for an energy efficiency or greenhouse gas emission reduction target. </t>
  </si>
  <si>
    <t>Renewable energy supplied at least 20% of city's electricity in the adoption year of the goal.</t>
  </si>
  <si>
    <t>Renewable energy supplied less than 20% of city's electricity in the year the goal was adopted.</t>
  </si>
  <si>
    <t>D24</t>
  </si>
  <si>
    <t>Average annual per household renewable energy conversion is greater than or equal to 875 kWh.</t>
  </si>
  <si>
    <t>Average annual per household renewable energy conversion is less than 490 kWh but at least 320 kWh.</t>
  </si>
  <si>
    <t>Average annual per household renewable energy conversion is less 320 kWh.</t>
  </si>
  <si>
    <t>EE targets</t>
  </si>
  <si>
    <t>D28</t>
  </si>
  <si>
    <t>Yes, the city has formally adopted a community-wide energy efficiency target.</t>
  </si>
  <si>
    <t>The city has not formally adopted a community-wide energy efficiency target but has adopted an energy efficiency target for a neighborhood, district, or sector.</t>
  </si>
  <si>
    <t>No, the city has not formally adopted a community-wide energy efficiency target or an energy efficiency target for a neighborhood, district, or sector.</t>
  </si>
  <si>
    <t>D29</t>
  </si>
  <si>
    <t>Average annual per capita energy savings is greater than or equal to 3.25%.</t>
  </si>
  <si>
    <t>Average annual per capita energy savings is less than 3.25% but at least 2%.</t>
  </si>
  <si>
    <t>Average annual energy savings is less than 2% or data are insufficient to calculate.</t>
  </si>
  <si>
    <t>GHG targets</t>
  </si>
  <si>
    <t>D33</t>
  </si>
  <si>
    <t xml:space="preserve">The city has adopted a community-wide GHG emissions reduction target or a related target. </t>
  </si>
  <si>
    <t>The city has not adopted a community-wide GHG emissions reduction target.</t>
  </si>
  <si>
    <t>D34</t>
  </si>
  <si>
    <t>Average annual emissions reduction is greater than or equal to 3.75%.</t>
  </si>
  <si>
    <t>Average annual emissions reduction is less than 3.75% but at least 2.5%.</t>
  </si>
  <si>
    <t>Average annual emissions reduction is less than 2.5% or data are insufficient to calculate.</t>
  </si>
  <si>
    <t>D35</t>
  </si>
  <si>
    <t>The city is on track to meet or exceed its near-term community-wide greenhouse gas reduction goal.</t>
  </si>
  <si>
    <t xml:space="preserve">The city is not on track to achieve its near-term community-wide greenhouse gas reduction goal, but it is projected to be within 25% of the goal. </t>
  </si>
  <si>
    <t xml:space="preserve">The city is not on track to be within 25% of its near-term community-wide greenhouse gas reduction goal. </t>
  </si>
  <si>
    <t>D45</t>
  </si>
  <si>
    <t>Yes, city-required or supported district energy systems include energy technologies that reduce their carbon footprint.</t>
  </si>
  <si>
    <t>No, city-required or supported district energy systems do not include energy technologies that reduce their carbon footprint.</t>
  </si>
  <si>
    <t>Yes, the city has taken an equity-driven approach to the proliferation of district energy systems within the city.</t>
  </si>
  <si>
    <t>No, the city has not taken an equity-driven approach to the proliferation of district energy systems within the city.</t>
  </si>
  <si>
    <t>D47</t>
  </si>
  <si>
    <t>Yes, city-required or supported microgrids include energy technologies that reduce their carbon footprint.</t>
  </si>
  <si>
    <t>No, city-required or supported microgrids do not include energy technologies that reduce their carbon footprint.</t>
  </si>
  <si>
    <t>Yes, the city has taken an equity-driven approach to the proliferation of microgrids within the city.</t>
  </si>
  <si>
    <t>No, the city has not taken an equity-driven approach to the proliferation of microgrids within the city.</t>
  </si>
  <si>
    <t>D48</t>
  </si>
  <si>
    <t>Yes, the city has adopted a formal policy or rule requiring the creation of community solar.</t>
  </si>
  <si>
    <t>No, the city has not adopted a formal policy or rule requiring the creation of community solar.</t>
  </si>
  <si>
    <t>D49</t>
  </si>
  <si>
    <t>Yes, the city has taken an equity-driven approach to the proliferation of community solar within the city.</t>
  </si>
  <si>
    <t>No, the city has not taken an equity-driven approach to the proliferation of community solar within the city.</t>
  </si>
  <si>
    <t>Equity</t>
  </si>
  <si>
    <t xml:space="preserve">Yes, the city has structured its public engagement strategies to increase engagement with marginalized groups. </t>
  </si>
  <si>
    <t xml:space="preserve">No, the city has not structured its public engagement strategies to increase engagement with marginalized groups. </t>
  </si>
  <si>
    <t>Yes, the city has given a decision-making body of marginalized residents the authority to approve and allocate funding toward clean energy projects.</t>
  </si>
  <si>
    <t xml:space="preserve">Yes, the city has given marginalized residents a formal role in decision-making processes for clean energy initiatives. </t>
  </si>
  <si>
    <t>No, the city has not given marginalized residents a formal role in decision-making processes for clean energy initiatives.</t>
  </si>
  <si>
    <t>D50</t>
  </si>
  <si>
    <t>Yes, the city has institutionalized equity accountability such that all policy and planning documents undergo structural equity assessments.</t>
  </si>
  <si>
    <t>Yes, the city has adopted structural equity procedures that are limited in scope or aspirational in nature.</t>
  </si>
  <si>
    <t>No, the city has not adopted structural equity procedures.</t>
  </si>
  <si>
    <t>Urban heat islands</t>
  </si>
  <si>
    <t>D59</t>
  </si>
  <si>
    <t>Yes, the city has implemented at least two of the listed policies to mitigate the urban heat island effect.</t>
  </si>
  <si>
    <t>Yes, the city has implemented one of the listed policies to mitigate the urban heat island effect.</t>
  </si>
  <si>
    <t>No, the city has not implemented any of the listed policies to mitigate the urban heat island effect.</t>
  </si>
  <si>
    <t>D60</t>
  </si>
  <si>
    <t xml:space="preserve">Yes, the city has formally adopted a quantitative goal to mitigate the urban heat island effect. </t>
  </si>
  <si>
    <t>No, the city has not formally adopted a quantitative goal to mitigate the urban heat island effect.</t>
  </si>
  <si>
    <t>Buildings policies</t>
  </si>
  <si>
    <t>Buildings policies total</t>
  </si>
  <si>
    <t>Building energy code adoption</t>
  </si>
  <si>
    <t>Building energy code enforcement and compliance</t>
  </si>
  <si>
    <t>Policies targeting existing buildings</t>
  </si>
  <si>
    <t>Workforce development</t>
  </si>
  <si>
    <t>Which best describes your community's residential energy code adoption authority? 
(1) Code is set at the state level, and local adoption of more stringent codes is not permitted. 
(2) Code is set at the state level, but local adoption of more aggressive codes is permitted. 
(3) No statewide code exists, and local adoption of codes is permitted.</t>
  </si>
  <si>
    <t>Which best describes your community's commercial energy code adoption authority? 
(1) Code is set at the state level, and local adoption of more stringent codes is not permitted. 
(2) Code is set at the state level, but local adoption of more aggressive codes is permitted. 
(3) No statewide code exists, and local adoption of codes is permitted.</t>
  </si>
  <si>
    <t xml:space="preserve">Does your city have legal authority to pass a multifamily energy benchmarking ordinance?                                                                                                                                                    </t>
  </si>
  <si>
    <t xml:space="preserve">Does your city have legal authority to pass a commercial energy benchmarking ordinance?                                                                                                                                                    </t>
  </si>
  <si>
    <t>Residential code stringency</t>
  </si>
  <si>
    <t>What is your city's residential energy code? Has your city adopted any local amendments that alter the code? Please email ACEEE with this information.</t>
  </si>
  <si>
    <t>Contact ACEEE</t>
  </si>
  <si>
    <t>Commercial code stringency</t>
  </si>
  <si>
    <t>What is your city's commercial energy code? Has your city adopted any local amendments that alter the code? Please email ACEEE with this information.</t>
  </si>
  <si>
    <t>Renewable-ready requirements</t>
  </si>
  <si>
    <t>EV-ready and -infrastructure requirements</t>
  </si>
  <si>
    <t>Low-energy use requirements</t>
  </si>
  <si>
    <t>Building energy code compliance and adoption</t>
  </si>
  <si>
    <t>City staffing</t>
  </si>
  <si>
    <t>Does your local government have at least one regular, full-time employee whose primary duty is energy code compliance?</t>
  </si>
  <si>
    <t>Free up-front support</t>
  </si>
  <si>
    <t xml:space="preserve">Does your local government provide developers, builders, or owners with free up-front support on building energy code compliance? </t>
  </si>
  <si>
    <t>Compliance strategies</t>
  </si>
  <si>
    <t>Does your city administer a mandatory compliance verification program that includes any of the following actions: plan reviews, field inspections, or performance testing?</t>
  </si>
  <si>
    <t>Energy efficiency incentives or financing programs</t>
  </si>
  <si>
    <t xml:space="preserve">Does the local government provide incentives and/or financing programs for energy efficiency upgrades and/or solar energy installation? If so, how many incentives and/or financing programs are offered? </t>
  </si>
  <si>
    <t>Solar energy incentives or financing programs</t>
  </si>
  <si>
    <t>Single-family disclosure policy</t>
  </si>
  <si>
    <t xml:space="preserve">Has your city passed an energy use and transparency policy or time-of-sale disclosure requirements for single-family homes? </t>
  </si>
  <si>
    <t>Commercial energy disclosure requirement</t>
  </si>
  <si>
    <t>Audit requirements</t>
  </si>
  <si>
    <t>Does the community require energy audits of commercial and/or residential buildings?</t>
  </si>
  <si>
    <t>Retrocommissing requirements</t>
  </si>
  <si>
    <t>Does your city require the retrocommissioning of private commercial and/or residential buildings?</t>
  </si>
  <si>
    <t>Does the community have retrofit requirements for private commercial and/or residential buildings?</t>
  </si>
  <si>
    <t>Does your city have building performance standards for commercial and residential buildings?</t>
  </si>
  <si>
    <t>Cross-cutting requirements</t>
  </si>
  <si>
    <t>Does your city require building owners to choose one energy-saving action out of a menu of several options? Such a menu may consist of audits, retrocommissioning, retrofits, low-energy-use requirements, or other energy-saving actions.</t>
  </si>
  <si>
    <t>Other requirements</t>
  </si>
  <si>
    <t>Is your city pursuing any innovative energy-saving requirements that may not fall into the above categories?</t>
  </si>
  <si>
    <t>Voluntary programs</t>
  </si>
  <si>
    <t>Does your city run any voluntary programs that encourage building owners to conduct energy-saving actions?</t>
  </si>
  <si>
    <t>Building performance standards for affordable housing sector</t>
  </si>
  <si>
    <t>Residential rental disclosure policy</t>
  </si>
  <si>
    <t>Does your city require disclosure of residential energy use and/or costs at the time-of-rent?</t>
  </si>
  <si>
    <t>Incentives or financing programs for low-income households</t>
  </si>
  <si>
    <t xml:space="preserve">Does the local government provide incentives and/or financing programs for low-income energy improvements? If so, how many incentives and/or financing programs are offered? </t>
  </si>
  <si>
    <t>Affordability requirements for energy incentives and financing programs</t>
  </si>
  <si>
    <r>
      <t xml:space="preserve">Answer
</t>
    </r>
    <r>
      <rPr>
        <b/>
        <sz val="8"/>
        <color theme="0"/>
        <rFont val="Calibri"/>
        <family val="2"/>
        <scheme val="minor"/>
      </rPr>
      <t>(Document programs and policies)</t>
    </r>
  </si>
  <si>
    <r>
      <t xml:space="preserve">Scoring criteria
</t>
    </r>
    <r>
      <rPr>
        <b/>
        <sz val="8"/>
        <color theme="0"/>
        <rFont val="Calibri"/>
        <family val="2"/>
        <scheme val="minor"/>
      </rPr>
      <t>(Select best option from drop-down)</t>
    </r>
  </si>
  <si>
    <t>In the past five years, has your city supported workforce development programs alongside energy efficiency policies and/or facilitated third-party energy efficiency training opportunities?</t>
  </si>
  <si>
    <t>In the past five years, has your city supported workforce development programs alongside renewable energy policies and/or facilitated third-party training opportunities?</t>
  </si>
  <si>
    <t>D12, D13</t>
  </si>
  <si>
    <t>State authority only.</t>
  </si>
  <si>
    <t>Local authority permitted.</t>
  </si>
  <si>
    <t>Local code only.</t>
  </si>
  <si>
    <t>D14, D15, D16</t>
  </si>
  <si>
    <t>The city has legal authority.</t>
  </si>
  <si>
    <t>The city does not have legal authority.</t>
  </si>
  <si>
    <t>Building code adoption</t>
  </si>
  <si>
    <t>D20</t>
  </si>
  <si>
    <t>The residential zEPI score is greater than 60.7.</t>
  </si>
  <si>
    <t>The residential zEPI score is less than or equal to 60.7 and greater than 58.1.</t>
  </si>
  <si>
    <t>The residential zEPI score is less than or equal to 58.1 and greater than 54.3.</t>
  </si>
  <si>
    <t>The residential zEPI score is less than or equal to 54.3.</t>
  </si>
  <si>
    <t>D21</t>
  </si>
  <si>
    <t>The commercial zEPI score is greater than 54.5</t>
  </si>
  <si>
    <t>The commercial zEPI score is less than or equal to 54.5 and greater than 52.3.</t>
  </si>
  <si>
    <t>The commercial zEPI score is less than or equal to 52.2 and greater than 49.3.</t>
  </si>
  <si>
    <t>The commercial zEPI score is less than or equal to 49.3.</t>
  </si>
  <si>
    <t>D22</t>
  </si>
  <si>
    <t>Yes, the city actively advocates for more-stringent residential and commercial energy codes.</t>
  </si>
  <si>
    <t>Yes, the city actively advocates for more-stringent residential or commercial energy codes.</t>
  </si>
  <si>
    <t>No, the city does not actively advocate for more-stringent residential or commerical energy codes.</t>
  </si>
  <si>
    <t>Yes, the city has passed a mandatory solar-ready requirement for new buildings.</t>
  </si>
  <si>
    <t>The city has not passed a mandatory solar-ready requirement for new buildings but has amended its zoning code to allow solar energy use in all zones.</t>
  </si>
  <si>
    <t>No, the city has not passed a mandatory solar-ready requirement for new buildings and has not amended its zoning code to allow solar energy use in all zones.</t>
  </si>
  <si>
    <t xml:space="preserve">Yes, the city has passed mandatory EV-charging and EV-ready requirements for new buildings. </t>
  </si>
  <si>
    <t xml:space="preserve">Yes, the city has passed either a mandatory EV-charging infrastructure or EV-ready requirement for new buildings, but not both. </t>
  </si>
  <si>
    <t xml:space="preserve">No, the city has not passed a mandatory EV-charging infrastructure and/or EV-ready requirement for new buildings. </t>
  </si>
  <si>
    <t>D25</t>
  </si>
  <si>
    <t>Yes, the city has adopted green building or low-energy use requirements for two or more of these sectors.</t>
  </si>
  <si>
    <t>Yes, the city has adopted green building or low-energy use requirements for only one of these sectors.</t>
  </si>
  <si>
    <t>No, the city has not adopted green building or low-energy use requirements for at least one of these sectors.</t>
  </si>
  <si>
    <t>Compliance and enforcement</t>
  </si>
  <si>
    <t>Yes, the local government has at least one regular, full-time employee whose primary duties is energy code compliance.</t>
  </si>
  <si>
    <t>No, the local government does not have a regular, full-time employee whose primary duties is energy code compliance.</t>
  </si>
  <si>
    <t>D30</t>
  </si>
  <si>
    <t>Yes, the local government provides up-front support for building energy code compliance.</t>
  </si>
  <si>
    <t>The local government does not provide up-front support for building energy code compliance, but it hosts and actively promotes state-run training opportunities in the community.</t>
  </si>
  <si>
    <t>No, the local government does not provide up-front support for building energy code compliance.</t>
  </si>
  <si>
    <t>The city requires plan reviews, field inspections, and performance testing.</t>
  </si>
  <si>
    <t>The city requires either plan reviews and field inspections or performance testing.</t>
  </si>
  <si>
    <t xml:space="preserve">The city does not require plan reviews, inspections, or performance testing. </t>
  </si>
  <si>
    <t>EXISTING BUILDINGS</t>
  </si>
  <si>
    <t>Incentives</t>
  </si>
  <si>
    <t>2 or more</t>
  </si>
  <si>
    <t xml:space="preserve">Benchmarking </t>
  </si>
  <si>
    <t>D36</t>
  </si>
  <si>
    <t>Yes, the city has passed a mandatory multifamily benchmarking and disclosure ordinance.</t>
  </si>
  <si>
    <t>No, the city has not passed a mandatory multifamily benchmarking ordinance and does not require buildings to disclose energy usage.</t>
  </si>
  <si>
    <t>D37</t>
  </si>
  <si>
    <t>Yes, the city has passed a mandatory commercial benchmarking and disclosure ordinance.</t>
  </si>
  <si>
    <t>No, the city has not passed a mandatory commercial benchmarking ordinance and does not require buildings to disclose energy usage.</t>
  </si>
  <si>
    <t>D38</t>
  </si>
  <si>
    <t>Yes, the city has passed a mandatory single-family disclosure policy.</t>
  </si>
  <si>
    <t>No, the city has not passed a mandatory single-family disclosure policy.</t>
  </si>
  <si>
    <t>D39</t>
  </si>
  <si>
    <t>Greater than or equal to 90%.</t>
  </si>
  <si>
    <t>Less than 90%.</t>
  </si>
  <si>
    <t>Required energy action</t>
  </si>
  <si>
    <t>D41</t>
  </si>
  <si>
    <t>Yes, the city has requirements to disclose commercial energy use.</t>
  </si>
  <si>
    <t>No, the city does not have requirements to disclose commercial energy use.</t>
  </si>
  <si>
    <t>D42</t>
  </si>
  <si>
    <t>Yes, the city has energy audit requirements for both commercial and residential buildings.</t>
  </si>
  <si>
    <t>Yes, the city has energy audit requirements for either commercial or residential buildings.</t>
  </si>
  <si>
    <t>No, the city does not have energy audit requirements.</t>
  </si>
  <si>
    <t>D43</t>
  </si>
  <si>
    <t xml:space="preserve">Yes, the city requires retrocommissioning of both commercial and residential buildings. </t>
  </si>
  <si>
    <t xml:space="preserve">Yes, the city requires retrocommissioning of either commercial or residential buildings. </t>
  </si>
  <si>
    <t xml:space="preserve">No, the city does not require retrocommissioning. </t>
  </si>
  <si>
    <t>D44</t>
  </si>
  <si>
    <t>Yes, the city has retrofit requirements for both commercial and residential buildings.</t>
  </si>
  <si>
    <t>Yes, the city has retrofit requirements for either commercial or residential buildings.</t>
  </si>
  <si>
    <t xml:space="preserve">No, the city does not have retrofit requirements. </t>
  </si>
  <si>
    <t>Yes, the city has building performance standards for both commercial and residential buildings.</t>
  </si>
  <si>
    <t>Yes, the city has building performance standards for commercial but not residential buildings.</t>
  </si>
  <si>
    <t>Yes, the city has building performance standards for residential but not commercial buildings.</t>
  </si>
  <si>
    <t xml:space="preserve">No, the city does not have building performance standards. </t>
  </si>
  <si>
    <t>D46</t>
  </si>
  <si>
    <t>Yes, the city requires both commercial and residential building owners to perform one energy-saving action.</t>
  </si>
  <si>
    <t xml:space="preserve">Yes, the city requires either commercial or residential building owners to perform one energy-savings action.  </t>
  </si>
  <si>
    <t xml:space="preserve">No, the city does not have cross-cutting energy requirements. </t>
  </si>
  <si>
    <t>Yes, the city runs a voluntary program.</t>
  </si>
  <si>
    <t>No, the city does not run a voluntary program.</t>
  </si>
  <si>
    <t>Yes, the city has building performance standards for the affordable housing sector and offers at least 2 mechanisms to support compliance.</t>
  </si>
  <si>
    <t>Yes, the city has requirements to disclose residential energy use.</t>
  </si>
  <si>
    <t>No, the city does not have requirements to disclose residential energy use.</t>
  </si>
  <si>
    <t>Yes, the city requires incentive award recipients to preserve housing affordability.</t>
  </si>
  <si>
    <t>No, the city does not require incentive award recipients to preserve housing affordability.</t>
  </si>
  <si>
    <t>D51</t>
  </si>
  <si>
    <t xml:space="preserve">Yes, the city has enacted equitable workforce development initiatives for residents. </t>
  </si>
  <si>
    <t xml:space="preserve">No, the city has not enacted equitable workforce development initiatives for residents. </t>
  </si>
  <si>
    <t>D52</t>
  </si>
  <si>
    <t xml:space="preserve">Yes, the city has supported workforce development programs or facilitated third-party energy efficiency training opportunities. </t>
  </si>
  <si>
    <t xml:space="preserve">No, the city has not supported workforce development programs nor facilitated third-party energy efficiency training opportunities. </t>
  </si>
  <si>
    <t xml:space="preserve">Yes, the city has supported workforce development programs or facilitated third-party renewable energy training opportunities. </t>
  </si>
  <si>
    <t xml:space="preserve">No, the city has not supported workforce development programs nor facilitated third-party renewable energy training opportunities. </t>
  </si>
  <si>
    <t>Transportation policies total</t>
  </si>
  <si>
    <t>Sustainable transportation strategies</t>
  </si>
  <si>
    <t>Location efficiency</t>
  </si>
  <si>
    <t xml:space="preserve">Mode shift </t>
  </si>
  <si>
    <t>Public transit</t>
  </si>
  <si>
    <t>Efficient vehicles</t>
  </si>
  <si>
    <t>Freight system efficiency</t>
  </si>
  <si>
    <t>Equitable transportation access</t>
  </si>
  <si>
    <t>Bonus points</t>
  </si>
  <si>
    <t xml:space="preserve">Has your city adopted a vehicle miles traveled (VMT) reduction goal? If not, has your city adopted a goal to reduce greenhouse gas emissions for the transportation sector? </t>
  </si>
  <si>
    <t>In the adoption year of your VMT/GHG goal, what was your city's population?</t>
  </si>
  <si>
    <t>What is your city's projected population in the target year of your VMT/GHG goal?</t>
  </si>
  <si>
    <r>
      <rPr>
        <b/>
        <sz val="12"/>
        <rFont val="Calibri"/>
        <family val="2"/>
        <scheme val="minor"/>
      </rPr>
      <t>Average</t>
    </r>
    <r>
      <rPr>
        <sz val="12"/>
        <rFont val="Calibri"/>
        <family val="2"/>
        <scheme val="minor"/>
      </rPr>
      <t xml:space="preserve"> total funding from five most recent years for transit systems that serve the community</t>
    </r>
  </si>
  <si>
    <t>National Transit Database</t>
  </si>
  <si>
    <t>S</t>
  </si>
  <si>
    <t>Metropolitan statistical area population (in most recent year for which data are available)</t>
  </si>
  <si>
    <t>Census Bureau</t>
  </si>
  <si>
    <t>Answer                                                              (Document programs and policies)</t>
  </si>
  <si>
    <t>Scoring criteria                                                                                                                                            (Select best option from drop-down)</t>
  </si>
  <si>
    <t>Have your community's VMT or GHG reduction goals for transportation been codified?</t>
  </si>
  <si>
    <t>Stringency VMT/GHG targets</t>
  </si>
  <si>
    <t>What are the VMT/GHG emissions reductions required to meet the goal?</t>
  </si>
  <si>
    <t>Progress toward VMT/GHG targets</t>
  </si>
  <si>
    <t>In its zoning code, has your city removed or reduced minimum parking requirements for new developments? If so, were these requirements removed for the entire city or certain neighborhoods?</t>
  </si>
  <si>
    <t>Does the local government's municipal zoning regulations promote location-efficient developments?</t>
  </si>
  <si>
    <t>Codes study</t>
  </si>
  <si>
    <t xml:space="preserve">Does your city offer incentives or have information disclosure policies to encourage compact, mixed-use development? If so, how many?  </t>
  </si>
  <si>
    <t>Mode shift strategies</t>
  </si>
  <si>
    <t>Modal share targets</t>
  </si>
  <si>
    <t>Has your city adopted mode shift targets for all modes of transportation (single-occupancy vehicles, public transit, biking, walking)?</t>
  </si>
  <si>
    <t>Progress toward modal share targets</t>
  </si>
  <si>
    <t xml:space="preserve">Has your city demonstrated quantitative progress toward its mode shift target? If yes, please provide data. </t>
  </si>
  <si>
    <t>Has your city formally adopted a complete streets policy, ordinance, or executive order?</t>
  </si>
  <si>
    <t>What is your city's PlacesForBikes total score for ridership, network, reach, and acceleration categories? Please email ACEEE for this information.</t>
  </si>
  <si>
    <t>PeopleForBikes' PlacesForBikes Scores</t>
  </si>
  <si>
    <t xml:space="preserve">What was the average per capita transit funding in your city for the five most recent years? </t>
  </si>
  <si>
    <t xml:space="preserve">Values calculated </t>
  </si>
  <si>
    <t>Access to transit service</t>
  </si>
  <si>
    <t>What is your locality's Transit Performance Score?</t>
  </si>
  <si>
    <t>All Transit</t>
  </si>
  <si>
    <t>Efficient vehicle policies</t>
  </si>
  <si>
    <t xml:space="preserve">Efficient vehicle purchase incentives </t>
  </si>
  <si>
    <t>Does the locality or utility offer purchase incentives (such as tax credits, rebates, or sales tax exemptions) for hybrid, plug-in hybrid, or electric vehicles?</t>
  </si>
  <si>
    <t xml:space="preserve">Vehicle charging infrastructure incentives </t>
  </si>
  <si>
    <t>Does the local government or utility offer incentives to support the installation of electric vehicle charging infrastructure?</t>
  </si>
  <si>
    <t>EV charging ports per 100,000 people</t>
  </si>
  <si>
    <t>What is the penetration of EV charging stations relative to population?</t>
  </si>
  <si>
    <t>Alternative Fuels Data Center</t>
  </si>
  <si>
    <t>Has your city or local school district formally adopted a goal for increasing  electric school buses? Please describe and provide documentation of the goal.</t>
  </si>
  <si>
    <t>Has your city or local transit agency formally adopted a goal for increasing electric bus transit? Please describe and provide documentation of the goal.</t>
  </si>
  <si>
    <t>Sustainable freight policies</t>
  </si>
  <si>
    <t>Sustainable freight plans</t>
  </si>
  <si>
    <t xml:space="preserve">Does your locality have a sustainable freight transportation strategy to increase the efficiency of freight movement? If not, does your locality have other stand-alone policies in place that address freight efficiency?                                                            </t>
  </si>
  <si>
    <t>Clean, efficient transportation for low-income communities</t>
  </si>
  <si>
    <t xml:space="preserve">Has your city adopted a policy to encourage low-income development around transit facilities? </t>
  </si>
  <si>
    <t>What percentage of low-income households (income &lt;$50K) has access to high-quality transit?</t>
  </si>
  <si>
    <t>Congestion pricing</t>
  </si>
  <si>
    <t>Does your city have congestion pricing mechanisms in place?</t>
  </si>
  <si>
    <t>Equitable EV charging</t>
  </si>
  <si>
    <t>Has your city given special consideration to low-income communities when siting EV charging equipment?</t>
  </si>
  <si>
    <t>Corresponding Cell</t>
  </si>
  <si>
    <t>Column1</t>
  </si>
  <si>
    <t>Prelim. information</t>
  </si>
  <si>
    <t>D14</t>
  </si>
  <si>
    <t>Yes, the city has adopted VMT/GHG reduction goal.</t>
  </si>
  <si>
    <t>No, the city has not adopted VMT/GHG reduction goal.</t>
  </si>
  <si>
    <t>Sustainable transportation policies</t>
  </si>
  <si>
    <t>The city has a standalone sustainable transportation plan or strategies included within a broader plan that has been updated within the past five years.</t>
  </si>
  <si>
    <t>The city has a standalone sustainable transportation plan or strategies included within a broader plan that has not been updated within the past five years.</t>
  </si>
  <si>
    <t xml:space="preserve">No, the city does not have a stand-alone transportation plan nor does it outline sustainable transportation strategies in any other general plan. </t>
  </si>
  <si>
    <t xml:space="preserve">Yes, the city has codified its VMT and/or GHG emissions reduction target. </t>
  </si>
  <si>
    <t xml:space="preserve">No, the city has not codified its VMT and/or GHG emissions reduction target. </t>
  </si>
  <si>
    <t>Average VMT/GHG emissions reduction is greater than or equal to 4% per year.</t>
  </si>
  <si>
    <t>Average VMT/GHG emissions reduction is greater than 1.5% but less than 4% per year.</t>
  </si>
  <si>
    <t>Average VMT/GHG emissions reduction is less than 1.5% per year.</t>
  </si>
  <si>
    <t xml:space="preserve">The city is on pace to achieve its goal by the adopted target year. </t>
  </si>
  <si>
    <t>Either parking maximums are in place or there are no minimum parking requirements for new developments anywhere in the city.</t>
  </si>
  <si>
    <t>At least one zone, neighborhood, or district has parking maximums or no minimum parking requirements, or the whole city has a requirement of 0.5 spaces or fewer per unit.</t>
  </si>
  <si>
    <t>At least one zone, neighborhood, or district has a requirement of 0.5 or fewer spaces per unit, or the whole city has a requirement of 1 space or fewer per unit.</t>
  </si>
  <si>
    <t>At least one neighborhood has a requirement of 1 space or fewer spaces per unit.</t>
  </si>
  <si>
    <t xml:space="preserve">The city has not removed or reduced minimum parking requirements anywhere in the city. </t>
  </si>
  <si>
    <t>Codes for TOD, compact or mixed-use development, or form-based zoning apply to the whole city.</t>
  </si>
  <si>
    <t>Codes for TOD, compact or mixed-use development, or form-based zoning apply only to certain areas or neighborhoods.</t>
  </si>
  <si>
    <t>The city does not have codes for TOD, compact or mixed-use development, or form-based zoning.</t>
  </si>
  <si>
    <t>D31</t>
  </si>
  <si>
    <t>Four or more</t>
  </si>
  <si>
    <t>Three</t>
  </si>
  <si>
    <t>Two</t>
  </si>
  <si>
    <t>One</t>
  </si>
  <si>
    <t>Zero</t>
  </si>
  <si>
    <t>Mode Shift</t>
  </si>
  <si>
    <t>The city has a modal share target for all modes of transportation (single-occupancy vehicles, public transit, biking, and walking).</t>
  </si>
  <si>
    <t>The city has a modal share target for only some modes of transportation.</t>
  </si>
  <si>
    <t>No, the city has not adopted modal shift targets for any modes of transportation.</t>
  </si>
  <si>
    <t>Yes, the city has demonstrated quantitative progress toward its modal shift targets.</t>
  </si>
  <si>
    <t>No, the city has not demonstrated quantitative progress towards its modal shift targets.</t>
  </si>
  <si>
    <t>The city's policy covers the entire city.</t>
  </si>
  <si>
    <t>The city's policy covers only specific districts and neighborhoods.</t>
  </si>
  <si>
    <t>The city does not have a policy.</t>
  </si>
  <si>
    <t>PlacesForBikes score of 9 or above.</t>
  </si>
  <si>
    <t>PlacesForBikes score is less than 6.</t>
  </si>
  <si>
    <t>Greater than or equal to $500 per capita</t>
  </si>
  <si>
    <t>$300 to $499.99 per capita</t>
  </si>
  <si>
    <t>$100 to $299.99 per capita</t>
  </si>
  <si>
    <t>$50 to $99.99 per capita</t>
  </si>
  <si>
    <t>Less than $50 per capita</t>
  </si>
  <si>
    <t>City Transit Performance Score greater than or equal to 9.</t>
  </si>
  <si>
    <t>City Transit Performance Score less than 5.</t>
  </si>
  <si>
    <t>D57</t>
  </si>
  <si>
    <t>The city has formed a public–private partnership resulting in a program that offers rebates for EV purchases.</t>
  </si>
  <si>
    <t>D58</t>
  </si>
  <si>
    <t>At least 90 stations per 100,000 people.</t>
  </si>
  <si>
    <t>Fewer than 90 but at least 50 stations per 100,000 people.</t>
  </si>
  <si>
    <t>Fewer than 50 stations per 100,000 people.</t>
  </si>
  <si>
    <t>The city or utility offers incentives for installation of public or private EV charging infrastructure.</t>
  </si>
  <si>
    <t>Neither the city nor utility offers incentives for installation of public or private EV charging infrastructure.</t>
  </si>
  <si>
    <t>Yes, the  city administers one voluntary effort.</t>
  </si>
  <si>
    <t>No, the city does not administer programs or voluntary efforts to increase affordable housing in TODs.</t>
  </si>
  <si>
    <t>The city or school district has a goal to increase the number of EV school buses in service.</t>
  </si>
  <si>
    <t>Neither the city nor school district has a goal to increase the number of EV school buses in service.</t>
  </si>
  <si>
    <t>D61</t>
  </si>
  <si>
    <t>The city or transit agency has a goal to increase the number of EV transit buses in service.</t>
  </si>
  <si>
    <t>Freight</t>
  </si>
  <si>
    <t>D64</t>
  </si>
  <si>
    <t>The city has a stand-alone sustainable freight plan or a multimodal freight plan outlining multiple strategies to increase efficiency.</t>
  </si>
  <si>
    <t>The city has a stand-alone sustainable freight plan outlining one strategy to increase efficiency.</t>
  </si>
  <si>
    <t>The city does not have a freight plan but has pursued multiple freight efficiency strategies.</t>
  </si>
  <si>
    <t>The city does not have a freight plan but has pursued at least one freight efficiency strategy.</t>
  </si>
  <si>
    <t xml:space="preserve">No, the locality does not have a freight plan or any freight efficiency strategies. </t>
  </si>
  <si>
    <t>D68</t>
  </si>
  <si>
    <t>City policy requires low-income housing development around transit facilities.</t>
  </si>
  <si>
    <t>City policy incentivizes low-income housing development around transit facilities.</t>
  </si>
  <si>
    <t xml:space="preserve">No,  the city has not adopted a policy to encourage or require low-income housing development around transit facilities. </t>
  </si>
  <si>
    <t>D69</t>
  </si>
  <si>
    <t>At least 90% of low-income households have access to high-quality transit.</t>
  </si>
  <si>
    <t>Between 75% and 89.9% of low-income households have access to high-quality transit.</t>
  </si>
  <si>
    <t>Between 60% and 74.9% of low-income households have access to high-quality transit.</t>
  </si>
  <si>
    <t>Between 50% and 59.9% of low-income households have access to high-quality transit.</t>
  </si>
  <si>
    <t>D70</t>
  </si>
  <si>
    <t xml:space="preserve">The city provides rebates or incentives to low-income residents for at least four efficient transportation options. </t>
  </si>
  <si>
    <t xml:space="preserve">The city provides rebates or incentives to low-income residents for three efficient transportation options. </t>
  </si>
  <si>
    <t xml:space="preserve">The city provides rebates or incentives to low-income residents for two efficient transportation options. </t>
  </si>
  <si>
    <t>The city provides rebates or incentives to low-income residents for one efficient transportation option.</t>
  </si>
  <si>
    <t>D74</t>
  </si>
  <si>
    <t>Yes, the city has congestion pricing mechanisms in place.</t>
  </si>
  <si>
    <t xml:space="preserve">No, the city does not have congestion pricing mechanisms in place. </t>
  </si>
  <si>
    <t>Equitable ev charging</t>
  </si>
  <si>
    <t>Yes, the city has given special consideration to low-income communities when siting EV charging equipment.</t>
  </si>
  <si>
    <t>No, the city has not given special consideration to low-income communities when siting EV charging equipment.</t>
  </si>
  <si>
    <t>Energy and water utilities total</t>
  </si>
  <si>
    <t>Electric and gas efficiency programs and savings</t>
  </si>
  <si>
    <t>Low-income and multifamily energy efficiency programs</t>
  </si>
  <si>
    <t>Energy data provision</t>
  </si>
  <si>
    <t>Decarbonization and climate change mitigation efforts</t>
  </si>
  <si>
    <t>Efficiency efforts in water services</t>
  </si>
  <si>
    <t>Name of main electric utility</t>
  </si>
  <si>
    <t>Name of main natural gas utility</t>
  </si>
  <si>
    <t>Ownership type of primary electric utility</t>
  </si>
  <si>
    <t>Ownership type of primary natural gas utility</t>
  </si>
  <si>
    <t>Electricity sales (MWh) of electric utility in 2019</t>
  </si>
  <si>
    <t>EIA Form 861 (2019)</t>
  </si>
  <si>
    <t>Energy savings from efficiency programs (MWh, net meter savings) by electric utility in 2019</t>
  </si>
  <si>
    <t>Natural gas sales (Mcf) of utility in 2019</t>
  </si>
  <si>
    <t>EIA Form 176 (2019)</t>
  </si>
  <si>
    <t>Natural gas savings from efficiency programs (Mcf, net savings) by utility in 2019</t>
  </si>
  <si>
    <t>Has your city's primary electric utility adopted a GHG emissions reduction goal?</t>
  </si>
  <si>
    <t>Efficiency efforts of energy utilities</t>
  </si>
  <si>
    <t>Answer 
(Document programs and policies)</t>
  </si>
  <si>
    <t xml:space="preserve">Electric efficiency savings </t>
  </si>
  <si>
    <t>Values calculated</t>
  </si>
  <si>
    <t>Natural gas efficiency savings</t>
  </si>
  <si>
    <t xml:space="preserve">What is the natural gas utility's net energy efficiency savings in 2019 as a percentage of sales? </t>
  </si>
  <si>
    <t>City-utility partnerships</t>
  </si>
  <si>
    <t>Equitable city, utility, and community partnerships
(Bonus point)</t>
  </si>
  <si>
    <t xml:space="preserve">Has your city cultivated an official partnership with a local utility and community-based organization to provide energy efficiency and renewable investments to households in marginalized communities or households with high energy burdens? See comment for additional information. </t>
  </si>
  <si>
    <t>Multifamily programs</t>
  </si>
  <si>
    <t xml:space="preserve">Does the electric utility and/or the natural gas utility offer a comprehensive energy efficiency program for multifamily customers that focuses on whole-building improvements? Please include a list of program measures in answer. </t>
  </si>
  <si>
    <t xml:space="preserve">Does the electric utility and/or the natural gas utility offer a low-income multifamily program? Please include a list of program measures in answer. </t>
  </si>
  <si>
    <t>Low-income programs</t>
  </si>
  <si>
    <t>Data provision efforts of energy utilities</t>
  </si>
  <si>
    <t>Advocacy</t>
  </si>
  <si>
    <t>Does the city advocate better access to utility data for ratepayers and/or the establishment of data-sharing agreements between the city and its utilities? Please provide examples and documentation.</t>
  </si>
  <si>
    <t>Benchmarking</t>
  </si>
  <si>
    <t xml:space="preserve">Does the utility provide community-wide energy usage information at the aggregate level for community planning and evaluation purposes? If yes, how often does the city receive this data (e.g., monthly, quarterly, annually)? If no, has the city requested this data from the local utility? </t>
  </si>
  <si>
    <t>Decarbonization and climate change mitigation efforts of energy utilities</t>
  </si>
  <si>
    <t>City-led efforts to decarbonize the electric grid</t>
  </si>
  <si>
    <t>Electric utility carbon emissions per capita</t>
  </si>
  <si>
    <t>Electric utility emissions reduction goal stringency</t>
  </si>
  <si>
    <t>What is the stringency of your electric utility's emissions reduction goal?</t>
  </si>
  <si>
    <t>Joint water-energy programs</t>
  </si>
  <si>
    <t>Does your water utility partner with an energy utility on energy efficiency programs to streamline energy and water efficiency measures? If so, please describe.</t>
  </si>
  <si>
    <t>Water savings target</t>
  </si>
  <si>
    <t>Has the local water and/or wastewater utility or local government formalized a water savings target or long-term strategy for water savings?</t>
  </si>
  <si>
    <t>Water utility energy efficiency strategy</t>
  </si>
  <si>
    <t xml:space="preserve">Please describe the approaches your water/wastewater utilities have taken to save energy. Have these projects been funded from a dedicated funding source? What procedures have the water/wastewater utilities put in place to ensure they continually focus on improving the energy efficiency of their assets? </t>
  </si>
  <si>
    <t>Option #5</t>
  </si>
  <si>
    <t>Option #6</t>
  </si>
  <si>
    <t>Option #7</t>
  </si>
  <si>
    <t>D14, D15</t>
  </si>
  <si>
    <t>Investor-owned utility</t>
  </si>
  <si>
    <t>Municipally owned utility</t>
  </si>
  <si>
    <t>D25, D26</t>
  </si>
  <si>
    <t>1.75-1.99%</t>
  </si>
  <si>
    <t>1.50-1.74%</t>
  </si>
  <si>
    <t>1.25-1.49%</t>
  </si>
  <si>
    <t>1.00-1.24%</t>
  </si>
  <si>
    <t>D27</t>
  </si>
  <si>
    <t>1.20% or greater</t>
  </si>
  <si>
    <t>0.70-1.19%</t>
  </si>
  <si>
    <t>0.20-0.69%</t>
  </si>
  <si>
    <t>Less than 0.20%</t>
  </si>
  <si>
    <t>The city has a formal partnership with the electric and/or natural gas utility in the form of a jointly developed or administered energy-saving strategy, plan, or agreement.</t>
  </si>
  <si>
    <t>The city has informally collaborated with the electric and/or natural gas utility on an energy efficiency project or program.</t>
  </si>
  <si>
    <t xml:space="preserve">The city and utility have not partnered or collaborated on an energy efficiency plan or strategy. </t>
  </si>
  <si>
    <t>The city and utility are working with at least one community-based organization through a formal strategy, partnership, or program that specifically defines and drives clean energy resources to households in marginalized communities.</t>
  </si>
  <si>
    <t>The city and utility do not work with at least one community-based organization through a formal strategy, partnership, or program that specifically defines and drives clean energy resources to households in marginalized communities.</t>
  </si>
  <si>
    <t>D32</t>
  </si>
  <si>
    <t>At least one of the main utilities offers a comprehensive energy efficiency program for multifamily customers that focuses on whole building improvements.</t>
  </si>
  <si>
    <t>Neither of the main utilities offers a comprehensive energy efficiency program for multifamily customers that focuses on whole building improvements.</t>
  </si>
  <si>
    <t>At least one of the main utilities offers a low-income multifamily program.</t>
  </si>
  <si>
    <t>Neither of the main utilities offers a low-income multifamily program.</t>
  </si>
  <si>
    <t>The local government contributes funds toward local weatherization providers or other low-income energy efficiency efforts (excluding financing programs).</t>
  </si>
  <si>
    <t>The local government does not contribute funds toward local weatherization providers or other low-income energy efficiency efforts.</t>
  </si>
  <si>
    <t>Yes, the city actively advocates improvements in data provision by utilities or has established data-sharing agreements with its utilities.</t>
  </si>
  <si>
    <t>No, the city does not actively advocate improvements in data provision by utilities and has not established data-sharing agreements with its utilities.</t>
  </si>
  <si>
    <t>D40</t>
  </si>
  <si>
    <t>The city and/or energy utility has made community-wide, aggregated energy usage information for both electric and natural gas publicly available for community planning and evaluation purposes in the past five years.</t>
  </si>
  <si>
    <t>The city has requested community-wide energy usage data for both electricity and natural gas but has not received it from the energy utility, OR the city has community-wide energy usage data for internal planning purposes but does not make these data publicly available.</t>
  </si>
  <si>
    <t xml:space="preserve">Neither the city nor utility has made community-wide, aggregated energy usage information available. </t>
  </si>
  <si>
    <t>The city has pursued two of these activities/strategies.</t>
  </si>
  <si>
    <t>The city has pursued three of these activities/strategies.</t>
  </si>
  <si>
    <t xml:space="preserve">The city has not pursued these activities/strategies. </t>
  </si>
  <si>
    <t>The city has community choice aggregation program in place with a green option.</t>
  </si>
  <si>
    <t>The city has introduced legislation to enable community choice aggregation, but it has not yet passed.</t>
  </si>
  <si>
    <t>No, the city is not served by a CCA, nor has it enabled one, nor is it exploring CCA options.</t>
  </si>
  <si>
    <t>Less than 5,000 metric tons CO2e</t>
  </si>
  <si>
    <t>5,000-9,999 metric tons CO2e</t>
  </si>
  <si>
    <t>10,000-20,000 metric tons CO2e</t>
  </si>
  <si>
    <t>More than 20,000 metric tons CO2e or lack of data to score</t>
  </si>
  <si>
    <t>More than 5% per year</t>
  </si>
  <si>
    <t>Less than 3% per year</t>
  </si>
  <si>
    <t>No emissions reduction goal, no reduction needed to meet goal, or lack of data to score</t>
  </si>
  <si>
    <t>The local water utility and/or energy utility provide deep water-saving measures streamlined with energy-saving measures.</t>
  </si>
  <si>
    <t>The local water utility and/or energy utility do not provide deep water-saving measures streamlined with energy-saving measures.</t>
  </si>
  <si>
    <t>The city or local water or wastewater utility has established a formal water savings target or long-term strategy for reducing
community-wide water use.</t>
  </si>
  <si>
    <t>The city or local water or wastewater utility has not established a formal water savings target or long-term strategy for reducing community-wide water use.</t>
  </si>
  <si>
    <t>D53</t>
  </si>
  <si>
    <t>At least one drinking water or wastewater utility serving the city has adopted a strategic and comprehensive energy management approach.</t>
  </si>
  <si>
    <t>The water utility reported having retrofit strategies but did not provide data indicating that projects have been completed OR water utility has conducted one-off energy-saving measures.</t>
  </si>
  <si>
    <t>The water utility does not have a strategic and comprehensive energy management approach and has not conducted any one-off energy-saving measures.</t>
  </si>
  <si>
    <t>D54</t>
  </si>
  <si>
    <t xml:space="preserve">The wastewater utility generates electricity and/or fuel from its wastewater influent. </t>
  </si>
  <si>
    <t xml:space="preserve">The wastewater utility does not generate electricity and/or fuel from its influent but has installed onsite renewable energy at its wastewater treatment plant. </t>
  </si>
  <si>
    <t xml:space="preserve">The wastewater utility does not generate electricity and/or fuel from its influent, nor has it installed onsite renewable energy. </t>
  </si>
  <si>
    <t xml:space="preserve">Yes </t>
  </si>
  <si>
    <t xml:space="preserve">No </t>
  </si>
  <si>
    <t>Local government operations total</t>
  </si>
  <si>
    <t>Climate and energy goals</t>
  </si>
  <si>
    <t>Procurement and construction policies</t>
  </si>
  <si>
    <t>Asset management</t>
  </si>
  <si>
    <t>Does your community have an energy reduction goal for local government operations?</t>
  </si>
  <si>
    <t>Does your community have a greenhouse gas (GHG) emissions reduction goal for local government operations?</t>
  </si>
  <si>
    <t>Does your community have a renewable energy goal for local government operations?</t>
  </si>
  <si>
    <t>What is the reduction target in the nearest target year (e.g., 10%, 20%, 30%)? For your city's renewable energy goal, what is the target renewable energy generation share (e.g., 10%, 20%, 30%)?</t>
  </si>
  <si>
    <t xml:space="preserve">What is the most recent year for which your city has data available? </t>
  </si>
  <si>
    <t xml:space="preserve">What was your city's renewable energy generation share, total energy consumption, or total GHG emissions in the year for which the most recent data are available? </t>
  </si>
  <si>
    <t>Energy reduction goal</t>
  </si>
  <si>
    <t>Stringency of goal</t>
  </si>
  <si>
    <t>Progress toward goal</t>
  </si>
  <si>
    <t>Renewable energy goal</t>
  </si>
  <si>
    <t>Fleet procurement policies</t>
  </si>
  <si>
    <t>Does your city have a fleet procurement policy that includes a requirement for the purchase of hybrid, plug-in hybrid, battery electric, or fuel cell vehicles? Does your city have fuel efficiency requirements for its public fleet vehicles or does it have any other policies to reduce GHGs from your fleet? Please describe and link to the policy.</t>
  </si>
  <si>
    <t>For the most recent year for which data are available, what percentage of the municipal fleet is hybrid, plug-in hybrid, battery electric, or fuel cell vehicles?</t>
  </si>
  <si>
    <t>Efficient public lighting</t>
  </si>
  <si>
    <t>What percentage of total streetlights (city- and utility-owned) have been converted to LED?</t>
  </si>
  <si>
    <t>Onsite and offsite renewable energy systems</t>
  </si>
  <si>
    <t>Building energy benchmarking</t>
  </si>
  <si>
    <t>Of local government buildings over 10,000 square feet, what percentage of square footage does the city benchmark on at least an annual basis?</t>
  </si>
  <si>
    <t>Comprehensive retrofit strategy</t>
  </si>
  <si>
    <t xml:space="preserve">Does your city take a strategic approach to managing energy use in municipal facilities with a focus on making continual energy efficiency improvements? If so, please explain. </t>
  </si>
  <si>
    <t>Initial Energy Management Policies for Government Operations</t>
  </si>
  <si>
    <t>Transparent Government Energy Usage</t>
  </si>
  <si>
    <t>Comprehensive Energy Management Strategy for Government Operations</t>
  </si>
  <si>
    <t>Data Validation Table</t>
  </si>
  <si>
    <t>Corresponding row</t>
  </si>
  <si>
    <t>D10</t>
  </si>
  <si>
    <t>D11</t>
  </si>
  <si>
    <t>Average annual energy savings per capita is greater than or equal to 3.5%.</t>
  </si>
  <si>
    <t>Average annual energy savings is less than 2%, or data are insufficient to calculate.</t>
  </si>
  <si>
    <t>Average annual greenhouse gas emissions reduction is greater than or equal to 4%.</t>
  </si>
  <si>
    <t>Average annual greenhouse gas emissions reduction is less than 4% and greater than or equal to 2.75%.</t>
  </si>
  <si>
    <t>Average annual greenhouse gas emissions reduction is less than 2.75%, or data are insufficient to calculate.</t>
  </si>
  <si>
    <t>City is on track to meet its nearest-term goal.</t>
  </si>
  <si>
    <t>Annual per household conversion target is greater than or equal to 110 kWh.</t>
  </si>
  <si>
    <t>Annual per household conversion target is less than 110 kWh and at least 25 kWh.</t>
  </si>
  <si>
    <t xml:space="preserve">Annual per household conversion target is less than 25 kWh or city did not provide data necessary for calculating goal stringency. </t>
  </si>
  <si>
    <t>Procurement &amp; Construction policies</t>
  </si>
  <si>
    <t>The city has a strategy to procure fuel-efficient, low-emissions vehicles or vehicle types.</t>
  </si>
  <si>
    <t xml:space="preserve">The municipal fleet is composed of at least 8% energy-saving vehicles (hybrid, plug-in hybrid, battery electric, and fuel cell).  </t>
  </si>
  <si>
    <t>The municipal fleet is composed of less than 8% efficient vehicle types.</t>
  </si>
  <si>
    <t>The city has adopted the lighting controls provisions of the Model Lighting Ordinance or a similar policy.</t>
  </si>
  <si>
    <t xml:space="preserve">The city has not adopted the lighting controls provisions of the Model Lighting Ordinance. </t>
  </si>
  <si>
    <t>The city has converted 76% or more of streetlights to LED.</t>
  </si>
  <si>
    <t>The city has converted 36–75.9% of streetlights to LED.</t>
  </si>
  <si>
    <t>City has converted less than 36% of streetlights to LED.</t>
  </si>
  <si>
    <t xml:space="preserve">City has installed at least 4W per capita of onsite or offsite municipal renewable energy generation capacity. </t>
  </si>
  <si>
    <t>City has installed less than 1W per capita of onsite or offsite municipal renewable energy generation capacity or has not installed onsite renewable energy.</t>
  </si>
  <si>
    <t>Asset Management</t>
  </si>
  <si>
    <t>The city benchmarks less than 90% of buildings over 10,000 square feet.</t>
  </si>
  <si>
    <t>The city evaluates public buildings to determine and prioritize energy efficiency retrofit opportunities, has completed projects in the past five years, and has data on results of retrofit projects.</t>
  </si>
  <si>
    <t xml:space="preserve">The city does not have a comprehensive retrofit strategy. </t>
  </si>
  <si>
    <t>This city has a dedicated funding source for energy efficiency work.</t>
  </si>
  <si>
    <t xml:space="preserve">The city does not have a dedicated funding source for energy efficiency work. </t>
  </si>
  <si>
    <t>Analysis</t>
  </si>
  <si>
    <t>ACEEE scorecard detailed results</t>
  </si>
  <si>
    <t>Max scores</t>
  </si>
  <si>
    <t>Median City Scorecard scores</t>
  </si>
  <si>
    <t>Grand totals</t>
  </si>
  <si>
    <t>Community-wide climate and energy goals</t>
  </si>
  <si>
    <t>Climate mitigation goal stringency</t>
  </si>
  <si>
    <t>Climate mitigation goal progress</t>
  </si>
  <si>
    <t xml:space="preserve">Energy efficiency goal stringency </t>
  </si>
  <si>
    <t>Renewable energy goal stringency</t>
  </si>
  <si>
    <t>Equity-driven approaches to clean energy planning, implementation, and evaluation</t>
  </si>
  <si>
    <t>Equitable climate and energy planning</t>
  </si>
  <si>
    <t>Clean distributed energy resources</t>
  </si>
  <si>
    <t>Equity in clean distributed energy resource planning</t>
  </si>
  <si>
    <t>Urban heat island mitigation policies and programs</t>
  </si>
  <si>
    <t>Residential code</t>
  </si>
  <si>
    <t>Commercial code</t>
  </si>
  <si>
    <t xml:space="preserve">Renewable-ready requirements </t>
  </si>
  <si>
    <t>EV readiness</t>
  </si>
  <si>
    <t>Building energy code compliance and enforcement</t>
  </si>
  <si>
    <t>Equity in policies targeting existing buildings</t>
  </si>
  <si>
    <t>Energy efficiency and renewable energy workforce development</t>
  </si>
  <si>
    <t>Sustainable transportation plans and vehicle miles traveled targets</t>
  </si>
  <si>
    <t>Location efficiency incentives and disclosure</t>
  </si>
  <si>
    <t>Mode shift</t>
  </si>
  <si>
    <t>Progress achieved toward mode shift target</t>
  </si>
  <si>
    <t xml:space="preserve">Bicycle system efficiency and connectivity </t>
  </si>
  <si>
    <t>Access to transit services</t>
  </si>
  <si>
    <t xml:space="preserve">Efficient vehicles </t>
  </si>
  <si>
    <t>Efficient vehicle charging infrastructure incentives</t>
  </si>
  <si>
    <t>Transportation bonus metrics</t>
  </si>
  <si>
    <t>2 bonus</t>
  </si>
  <si>
    <t>N/A</t>
  </si>
  <si>
    <t>1 bonus</t>
  </si>
  <si>
    <t xml:space="preserve">Energy and water utilities </t>
  </si>
  <si>
    <t>Low-income and multifamily programs</t>
  </si>
  <si>
    <t>City-led efforts to decarbonize the electric grid (IOUs)</t>
  </si>
  <si>
    <t>Electric utility carbon emissions per capita (Munis)</t>
  </si>
  <si>
    <t xml:space="preserve">Electric utility emissions reduction goal stringency </t>
  </si>
  <si>
    <t>Joint water–energy program</t>
  </si>
  <si>
    <t xml:space="preserve">Local government operations </t>
  </si>
  <si>
    <t>Local government climate and energy goals</t>
  </si>
  <si>
    <t>Climate goal stringency</t>
  </si>
  <si>
    <t>Progress toward climate goal</t>
  </si>
  <si>
    <t>Fleet procurement policy and composition</t>
  </si>
  <si>
    <t>Efficient public lighting policy and composition</t>
  </si>
  <si>
    <t>Onsite and offsite renewables</t>
  </si>
  <si>
    <t>Inclusive procurement</t>
  </si>
  <si>
    <t>Comprehensive retrofit strategy and funding source</t>
  </si>
  <si>
    <t>City score by metric categorization</t>
  </si>
  <si>
    <t>Max score</t>
  </si>
  <si>
    <t>Median</t>
  </si>
  <si>
    <t>Similar cities</t>
  </si>
  <si>
    <t>Grand total</t>
  </si>
  <si>
    <t>Buildings</t>
  </si>
  <si>
    <t>Transportation</t>
  </si>
  <si>
    <t>Energy and water utility policies</t>
  </si>
  <si>
    <t>2021 Rank</t>
  </si>
  <si>
    <t>City Scorecard median</t>
  </si>
  <si>
    <t>Community-wide</t>
  </si>
  <si>
    <t>Utilities</t>
  </si>
  <si>
    <t>Total</t>
  </si>
  <si>
    <t>City</t>
  </si>
  <si>
    <t>State</t>
  </si>
  <si>
    <t>Main electric utility</t>
  </si>
  <si>
    <t>Main natural gas utility</t>
  </si>
  <si>
    <t>Akron</t>
  </si>
  <si>
    <t>OH</t>
  </si>
  <si>
    <t>Ohio Edison</t>
  </si>
  <si>
    <t>Dominion Energy Ohio</t>
  </si>
  <si>
    <t>Albuquerque</t>
  </si>
  <si>
    <t>NM</t>
  </si>
  <si>
    <t>Public Service Co. of NM</t>
  </si>
  <si>
    <t>New Mexico Gas</t>
  </si>
  <si>
    <t>Allentown</t>
  </si>
  <si>
    <t>PA</t>
  </si>
  <si>
    <t>PPL Electric Utilities</t>
  </si>
  <si>
    <t>UHI Utilities</t>
  </si>
  <si>
    <t>Atlanta</t>
  </si>
  <si>
    <t>GA</t>
  </si>
  <si>
    <t>Georgia Power</t>
  </si>
  <si>
    <t>Atlanta Gas Light (Southern Company Gas)</t>
  </si>
  <si>
    <t>Augusta</t>
  </si>
  <si>
    <t>Aurora</t>
  </si>
  <si>
    <t>CO</t>
  </si>
  <si>
    <t>Xcel Energy (Public Service Co. of CO)</t>
  </si>
  <si>
    <t>Austin</t>
  </si>
  <si>
    <t>TX</t>
  </si>
  <si>
    <t>Austin Energy</t>
  </si>
  <si>
    <t>Texas Gas Service</t>
  </si>
  <si>
    <t>Bakersfield</t>
  </si>
  <si>
    <t>CA</t>
  </si>
  <si>
    <t>PG&amp;E</t>
  </si>
  <si>
    <t>SoCal Gas</t>
  </si>
  <si>
    <t>Baltimore</t>
  </si>
  <si>
    <t>MD</t>
  </si>
  <si>
    <t>Baltimore Gas &amp; Electric Co.</t>
  </si>
  <si>
    <t>Baltimore Gas &amp; Electric</t>
  </si>
  <si>
    <t>Baton Rouge</t>
  </si>
  <si>
    <t>LA</t>
  </si>
  <si>
    <t>Entergy Louisiana</t>
  </si>
  <si>
    <t>Birmingham</t>
  </si>
  <si>
    <t>AL</t>
  </si>
  <si>
    <t>Alabama Power</t>
  </si>
  <si>
    <t>Alagasco</t>
  </si>
  <si>
    <t>Boise</t>
  </si>
  <si>
    <t>ID</t>
  </si>
  <si>
    <t>Idaho Power</t>
  </si>
  <si>
    <t>Intermountain Gas Company</t>
  </si>
  <si>
    <t>Boston</t>
  </si>
  <si>
    <t>MA</t>
  </si>
  <si>
    <t>Eversource (MA)</t>
  </si>
  <si>
    <t>National Grid (Boston Gas &amp; Colonial Gas Co.)</t>
  </si>
  <si>
    <t>Bridgeport</t>
  </si>
  <si>
    <t>CT</t>
  </si>
  <si>
    <t>United Illuminating Co.</t>
  </si>
  <si>
    <t>Southern Connecticut Gas</t>
  </si>
  <si>
    <t>Buffalo</t>
  </si>
  <si>
    <t>NY</t>
  </si>
  <si>
    <t>National Grid (NY)</t>
  </si>
  <si>
    <t>National Fuel Gas</t>
  </si>
  <si>
    <t>Cape Coral</t>
  </si>
  <si>
    <t>FL</t>
  </si>
  <si>
    <t>Lee Country Electric Cooperative</t>
  </si>
  <si>
    <t>TECO Peoples Gas</t>
  </si>
  <si>
    <t>Charleston</t>
  </si>
  <si>
    <t>SC</t>
  </si>
  <si>
    <t>Dominion Energy South Carolina</t>
  </si>
  <si>
    <t>Charlotte</t>
  </si>
  <si>
    <t>NC</t>
  </si>
  <si>
    <t>Duke Energy Carolinas</t>
  </si>
  <si>
    <t>Piedmont Natural Gas</t>
  </si>
  <si>
    <t>Chicago</t>
  </si>
  <si>
    <t>IL</t>
  </si>
  <si>
    <t>ComEd</t>
  </si>
  <si>
    <t>Peoples Gas</t>
  </si>
  <si>
    <t>Chula Vista</t>
  </si>
  <si>
    <t>San Diego Gas &amp; Electric</t>
  </si>
  <si>
    <t>Cincinnati</t>
  </si>
  <si>
    <t>Duke Energy Ohio</t>
  </si>
  <si>
    <t>Cleveland</t>
  </si>
  <si>
    <t>First Energy (Cleveland Electric Illuminating)</t>
  </si>
  <si>
    <t>Colorado Springs</t>
  </si>
  <si>
    <t>Colorado Springs Utilities</t>
  </si>
  <si>
    <t>Columbia</t>
  </si>
  <si>
    <t>Columbus</t>
  </si>
  <si>
    <t>American Electric Power (Ohio Power)</t>
  </si>
  <si>
    <t>Columbia Gas of Ohio (NiSource)</t>
  </si>
  <si>
    <t>Dallas</t>
  </si>
  <si>
    <t>ONCOR</t>
  </si>
  <si>
    <t>ATMOS Energy</t>
  </si>
  <si>
    <t>Dayton</t>
  </si>
  <si>
    <t>Dayton Power &amp; Light</t>
  </si>
  <si>
    <t>Vectren (CenterPoint Energy)</t>
  </si>
  <si>
    <t>Denver</t>
  </si>
  <si>
    <t>Des Moines</t>
  </si>
  <si>
    <t>IA</t>
  </si>
  <si>
    <t>MidAmerican Energy</t>
  </si>
  <si>
    <t>Detroit</t>
  </si>
  <si>
    <t>MI</t>
  </si>
  <si>
    <t>DTE Energy</t>
  </si>
  <si>
    <t>El Paso</t>
  </si>
  <si>
    <t>El Paso Electric</t>
  </si>
  <si>
    <t>Fort Worth</t>
  </si>
  <si>
    <t>Fresno</t>
  </si>
  <si>
    <t>Pacific Gas &amp; Electric</t>
  </si>
  <si>
    <t>Grand Rapids</t>
  </si>
  <si>
    <t>Consumers Energy Co.</t>
  </si>
  <si>
    <t>Greensboro</t>
  </si>
  <si>
    <t>Hartford</t>
  </si>
  <si>
    <t>Eversource (Connecticut Light &amp; Power)</t>
  </si>
  <si>
    <t>Connecticut Natural Gas</t>
  </si>
  <si>
    <t>Henderson</t>
  </si>
  <si>
    <t>NV</t>
  </si>
  <si>
    <t>NV Energy</t>
  </si>
  <si>
    <t>Southwest Gas</t>
  </si>
  <si>
    <t>Honolulu</t>
  </si>
  <si>
    <t>HI</t>
  </si>
  <si>
    <t>Hawaiian Electric Co.</t>
  </si>
  <si>
    <t>Hawaii Gas</t>
  </si>
  <si>
    <t>Houston</t>
  </si>
  <si>
    <t>CenterPoint Energy</t>
  </si>
  <si>
    <t>Indianapolis</t>
  </si>
  <si>
    <t>IN</t>
  </si>
  <si>
    <t>AES Indiana</t>
  </si>
  <si>
    <t>Citizens Energy Group</t>
  </si>
  <si>
    <t>Jacksonville</t>
  </si>
  <si>
    <t>JEA</t>
  </si>
  <si>
    <t>Kansas City</t>
  </si>
  <si>
    <t>MO</t>
  </si>
  <si>
    <t>Kansas City Power &amp; Light</t>
  </si>
  <si>
    <t>Spire Missouri</t>
  </si>
  <si>
    <t>Knoxville</t>
  </si>
  <si>
    <t>TN</t>
  </si>
  <si>
    <t>Knoxville Utilities Board</t>
  </si>
  <si>
    <t>Lakeland</t>
  </si>
  <si>
    <t>Lakeland Electric</t>
  </si>
  <si>
    <t>Las Vegas</t>
  </si>
  <si>
    <t>Little Rock</t>
  </si>
  <si>
    <t>AR</t>
  </si>
  <si>
    <t>Entergy Arkansas</t>
  </si>
  <si>
    <t>CenterPoint Energy Arkansas</t>
  </si>
  <si>
    <t>Long Beach</t>
  </si>
  <si>
    <t>Southern California Edison</t>
  </si>
  <si>
    <t>Long Beach Energy Resources</t>
  </si>
  <si>
    <t>Los Angeles</t>
  </si>
  <si>
    <t>LADWP</t>
  </si>
  <si>
    <t>Louisville</t>
  </si>
  <si>
    <t>KY</t>
  </si>
  <si>
    <t>Louisville Gas &amp; Electric</t>
  </si>
  <si>
    <t>Madison</t>
  </si>
  <si>
    <t>WI</t>
  </si>
  <si>
    <t>Madison Gas &amp; Electric</t>
  </si>
  <si>
    <t>McAllen</t>
  </si>
  <si>
    <t>American Electric Power (TX)</t>
  </si>
  <si>
    <t>Memphis</t>
  </si>
  <si>
    <t>Memphis Light, Gas &amp; Water</t>
  </si>
  <si>
    <t>Mesa</t>
  </si>
  <si>
    <t>AZ</t>
  </si>
  <si>
    <t>Salt River Project</t>
  </si>
  <si>
    <t>Miami</t>
  </si>
  <si>
    <t>Florida Power &amp; Light</t>
  </si>
  <si>
    <t>Florida City Gas</t>
  </si>
  <si>
    <t>Milwaukee</t>
  </si>
  <si>
    <t>We Energies</t>
  </si>
  <si>
    <t>Minneapolis</t>
  </si>
  <si>
    <t>MN</t>
  </si>
  <si>
    <t>Xcel Energy (Northern States Power)</t>
  </si>
  <si>
    <t>Nashville</t>
  </si>
  <si>
    <t>Nashville Electric Service</t>
  </si>
  <si>
    <t>New Haven</t>
  </si>
  <si>
    <t>New Orleans</t>
  </si>
  <si>
    <t>Entergy New Orleans</t>
  </si>
  <si>
    <t>New York City</t>
  </si>
  <si>
    <t>ConEdison</t>
  </si>
  <si>
    <t>National Grid (Brooklyn Union Gas Co.)/NYSERDA</t>
  </si>
  <si>
    <t>Newark</t>
  </si>
  <si>
    <t>NJ</t>
  </si>
  <si>
    <t>PSE&amp;G</t>
  </si>
  <si>
    <t>Oakland</t>
  </si>
  <si>
    <t>Oklahoma City</t>
  </si>
  <si>
    <t>OK</t>
  </si>
  <si>
    <t>Oklahoma Gas &amp; Electric</t>
  </si>
  <si>
    <t>Oklahoma Natural Gas</t>
  </si>
  <si>
    <t>Omaha</t>
  </si>
  <si>
    <t>NE</t>
  </si>
  <si>
    <t>Omaha Public Power District</t>
  </si>
  <si>
    <t>Metropolitan Utilities District of Omaha</t>
  </si>
  <si>
    <t>Orlando</t>
  </si>
  <si>
    <t>Orlando Utilities Commission</t>
  </si>
  <si>
    <t>Oxnard</t>
  </si>
  <si>
    <t>Southern California Gas</t>
  </si>
  <si>
    <t>Philadelphia</t>
  </si>
  <si>
    <t>PECO</t>
  </si>
  <si>
    <t>PGW</t>
  </si>
  <si>
    <t>Phoenix</t>
  </si>
  <si>
    <t>Arizona Public Service</t>
  </si>
  <si>
    <t>Pittsburgh</t>
  </si>
  <si>
    <t>Duquesne Light Co.</t>
  </si>
  <si>
    <t>Peoples Natural Gas</t>
  </si>
  <si>
    <t>Portland</t>
  </si>
  <si>
    <t>OR</t>
  </si>
  <si>
    <t>Portland General Electric</t>
  </si>
  <si>
    <t>NW Natural</t>
  </si>
  <si>
    <t>Providence</t>
  </si>
  <si>
    <t>RI</t>
  </si>
  <si>
    <t>National Grid RI (Narragansett)</t>
  </si>
  <si>
    <t>Provo</t>
  </si>
  <si>
    <t>UT</t>
  </si>
  <si>
    <t>Provo Power</t>
  </si>
  <si>
    <t>Dominion Energy Utah</t>
  </si>
  <si>
    <t>Raleigh</t>
  </si>
  <si>
    <t>Duke Energy Progress</t>
  </si>
  <si>
    <t>PSNC Energy</t>
  </si>
  <si>
    <t>Reno</t>
  </si>
  <si>
    <t>Richmond</t>
  </si>
  <si>
    <t>VA</t>
  </si>
  <si>
    <t>Dominion Virginia Power</t>
  </si>
  <si>
    <t>Richmond Department of Public Utilities</t>
  </si>
  <si>
    <t>Riverside</t>
  </si>
  <si>
    <t>City of Riverside Public Service</t>
  </si>
  <si>
    <t>Rochester</t>
  </si>
  <si>
    <t>Rochester Gas &amp; Electric</t>
  </si>
  <si>
    <t>Sacramento</t>
  </si>
  <si>
    <t>SMUD</t>
  </si>
  <si>
    <t>Salt Lake City</t>
  </si>
  <si>
    <t>Rocky Mountain Power (PacifiCorp)</t>
  </si>
  <si>
    <t>Dominion Energy (Questar Gas)</t>
  </si>
  <si>
    <t>San Antonio</t>
  </si>
  <si>
    <t>CPS Energy (City of San Antonio)</t>
  </si>
  <si>
    <t>CPS Energy (San Antonio PSB)</t>
  </si>
  <si>
    <t>San Diego</t>
  </si>
  <si>
    <t>San Francisco</t>
  </si>
  <si>
    <t>San Jose</t>
  </si>
  <si>
    <t>San Juan</t>
  </si>
  <si>
    <t>PR</t>
  </si>
  <si>
    <t>Puerto Rico Electric Power Authority</t>
  </si>
  <si>
    <t>Seattle</t>
  </si>
  <si>
    <t>WA</t>
  </si>
  <si>
    <t>Seattle City Light</t>
  </si>
  <si>
    <t>Puget Sound Energy</t>
  </si>
  <si>
    <t>Springfield</t>
  </si>
  <si>
    <t>Eversource</t>
  </si>
  <si>
    <t>Columbia Gas of Massachusetts</t>
  </si>
  <si>
    <t>St. Louis</t>
  </si>
  <si>
    <t>Ameren UE (Union Electric)</t>
  </si>
  <si>
    <t>St. Paul</t>
  </si>
  <si>
    <t>St. Petersburg</t>
  </si>
  <si>
    <t>Duke Energy Florida</t>
  </si>
  <si>
    <t>Stockton</t>
  </si>
  <si>
    <t>Syracuse</t>
  </si>
  <si>
    <t>National Grid NY</t>
  </si>
  <si>
    <t>Tampa</t>
  </si>
  <si>
    <t>Tampa Electric Co.</t>
  </si>
  <si>
    <t>Toledo</t>
  </si>
  <si>
    <t>Toledo Edison</t>
  </si>
  <si>
    <t>Columbia Gas of Ohio</t>
  </si>
  <si>
    <t>Tucson</t>
  </si>
  <si>
    <t>Tucson Electric Power Co.</t>
  </si>
  <si>
    <t>Tulsa</t>
  </si>
  <si>
    <t>Public Service Co. of Oklahoma</t>
  </si>
  <si>
    <t>Virginia Beach</t>
  </si>
  <si>
    <t>Virginia Natural Gas (AGL Resources)</t>
  </si>
  <si>
    <t>Washington</t>
  </si>
  <si>
    <t>DC</t>
  </si>
  <si>
    <t>PEPCO</t>
  </si>
  <si>
    <t>Washington Gas (DC SEU)</t>
  </si>
  <si>
    <t>Wichita</t>
  </si>
  <si>
    <t>KS</t>
  </si>
  <si>
    <t>Evergy</t>
  </si>
  <si>
    <t>Kansas Gas Service</t>
  </si>
  <si>
    <t>Winston-Salem</t>
  </si>
  <si>
    <t>Worcester</t>
  </si>
  <si>
    <t>National Grid (MA)</t>
  </si>
  <si>
    <t>Intro Tab</t>
  </si>
  <si>
    <t>F13, G13, H13</t>
  </si>
  <si>
    <t>MMBTU</t>
  </si>
  <si>
    <t>MWh</t>
  </si>
  <si>
    <t>I13</t>
  </si>
  <si>
    <t>Gallons</t>
  </si>
  <si>
    <t>VMT</t>
  </si>
  <si>
    <t>Local Government Operations</t>
  </si>
  <si>
    <t>Does the municipal government offer carpooling or public transit benefits to employees?</t>
  </si>
  <si>
    <t>GHG Progress</t>
  </si>
  <si>
    <t xml:space="preserve">Questions </t>
  </si>
  <si>
    <t>Getting Started</t>
  </si>
  <si>
    <t>A7</t>
  </si>
  <si>
    <t>At least one full-time employee is dedicated to energy management and coordination</t>
  </si>
  <si>
    <t>No full-time staff are dedicated to energy management and coordination</t>
  </si>
  <si>
    <t>A8</t>
  </si>
  <si>
    <t>Yes, the city has an energy efficiency standard in place for outdoor lighting</t>
  </si>
  <si>
    <t>A policy is not in place, but the city has begun an outdoor lighting replacement program</t>
  </si>
  <si>
    <t>No, a standard is not in place and retrofits are not planned</t>
  </si>
  <si>
    <t>A9</t>
  </si>
  <si>
    <t xml:space="preserve">Yes, lights are activated by sensors and/or are scheduled </t>
  </si>
  <si>
    <t>No, lights are not activated by sensors nor scheduled for only when needed</t>
  </si>
  <si>
    <t>A10</t>
  </si>
  <si>
    <t>Yes, energy efficiency and/or lifecycle costs are considered in procurement</t>
  </si>
  <si>
    <t>No, neither energy efficiency nor lifecycle costs are considered in procurement</t>
  </si>
  <si>
    <t>A11</t>
  </si>
  <si>
    <t>At least 75%</t>
  </si>
  <si>
    <t>50 - 74.9%</t>
  </si>
  <si>
    <t>25 - 49.9%</t>
  </si>
  <si>
    <t>&lt;25%</t>
  </si>
  <si>
    <t>A12</t>
  </si>
  <si>
    <t>Yes, current government policies minimize municipal employee commutes</t>
  </si>
  <si>
    <t>No, government policies are not in place to minimize municipal employee commutes</t>
  </si>
  <si>
    <t>A13</t>
  </si>
  <si>
    <t>Yes, carpooling or public transit benefits are offered to municipal employees</t>
  </si>
  <si>
    <t>No, carpooling or public transit benefits are not offered to municipal employees</t>
  </si>
  <si>
    <t>Improve Access to Actionable Information</t>
  </si>
  <si>
    <t>A19</t>
  </si>
  <si>
    <t>Yes, the city publicly reports on the progress towards goals at least annually</t>
  </si>
  <si>
    <t>Progress on all goals is not reported, but the city does annually report on some goals</t>
  </si>
  <si>
    <t>No, the city does not publicly or annually report on the progress towards goals</t>
  </si>
  <si>
    <t>A20</t>
  </si>
  <si>
    <t>A21</t>
  </si>
  <si>
    <t>Yes, outreach and community engagement are part of goals</t>
  </si>
  <si>
    <t>No, outreach and community engagement are not part of goals</t>
  </si>
  <si>
    <t>Comprehensive Energy Strategy</t>
  </si>
  <si>
    <t>A29</t>
  </si>
  <si>
    <t>Yes, a target has been adopted through Executive Order or City Resolution</t>
  </si>
  <si>
    <t>Energy efficiency targets have been identified, but not formally adopted</t>
  </si>
  <si>
    <t>No targets have been set, but an agency stakeholder group is convening to discuss</t>
  </si>
  <si>
    <t>No, no targets have been adopted nor are being planned</t>
  </si>
  <si>
    <t>A30</t>
  </si>
  <si>
    <t>Yes, the city has quantitative evidence demonstrating it is on track to reach its target(s)</t>
  </si>
  <si>
    <t>City has implemented programs to save energy, but cannot quantify overall savings</t>
  </si>
  <si>
    <t>No, the city is not on track to reach its target(s)</t>
  </si>
  <si>
    <t>A31</t>
  </si>
  <si>
    <t>Yes, dedicated funding is in place and/or energy target(s) has been incorporated</t>
  </si>
  <si>
    <t>Neither dedicated funding is in place nor has energy target(s) been incorporated</t>
  </si>
  <si>
    <t>A32</t>
  </si>
  <si>
    <t>Yes, the city employs a third party for EM&amp;V of progress towards goals</t>
  </si>
  <si>
    <t>No third party, but city follows standardized monitoring and evaluation techniques</t>
  </si>
  <si>
    <t>No, city does not employ a third party for EM&amp;V of progress towards goals</t>
  </si>
  <si>
    <t>A33</t>
  </si>
  <si>
    <t>Yes, departmental incentives are in place for energy efficient actions</t>
  </si>
  <si>
    <t>No, departmental incentives are not in place for energy efficient actions</t>
  </si>
  <si>
    <t>A34</t>
  </si>
  <si>
    <t>Yes, there are fuel efficiency requirements for the public fleet</t>
  </si>
  <si>
    <t>No, there aren't fuel efficiency requirements for the public fleet</t>
  </si>
  <si>
    <t>A35</t>
  </si>
  <si>
    <r>
      <t xml:space="preserve">Both a right-sizing policy </t>
    </r>
    <r>
      <rPr>
        <b/>
        <sz val="11"/>
        <color theme="1"/>
        <rFont val="Calibri"/>
        <family val="2"/>
        <scheme val="minor"/>
      </rPr>
      <t xml:space="preserve">AND a </t>
    </r>
    <r>
      <rPr>
        <sz val="11"/>
        <color theme="1"/>
        <rFont val="Calibri"/>
        <family val="2"/>
        <scheme val="minor"/>
      </rPr>
      <t>policy to encourage efficient vehicle usage is in place</t>
    </r>
  </si>
  <si>
    <r>
      <t xml:space="preserve">A right-sizing policy </t>
    </r>
    <r>
      <rPr>
        <b/>
        <sz val="11"/>
        <color theme="1"/>
        <rFont val="Calibri"/>
        <family val="2"/>
        <scheme val="minor"/>
      </rPr>
      <t>OR</t>
    </r>
    <r>
      <rPr>
        <sz val="11"/>
        <color theme="1"/>
        <rFont val="Calibri"/>
        <family val="2"/>
        <scheme val="minor"/>
      </rPr>
      <t xml:space="preserve"> a policy to encourage efficient vehicle usage is in place</t>
    </r>
  </si>
  <si>
    <t>Neither a right-sizing policy nor a policy to encourage efficient vehicle usage is in place</t>
  </si>
  <si>
    <t>A36</t>
  </si>
  <si>
    <t>Yes, publicly installed charging stations are available for private vehicles</t>
  </si>
  <si>
    <t>Publicly installed charging stations are only available to government vehicles</t>
  </si>
  <si>
    <t>The city has not installed electric vehicle charging stations</t>
  </si>
  <si>
    <t>A37</t>
  </si>
  <si>
    <t>Yes, energy efficiency requirements, such as ENERGY STAR, are in place</t>
  </si>
  <si>
    <t>LEED requirements, which also emphasize energy efficiency, are in place</t>
  </si>
  <si>
    <t>LEED requirements, which do not emphasize energy efficiency, are in place</t>
  </si>
  <si>
    <t>No energy efficiency requirements are in place for new public buildings</t>
  </si>
  <si>
    <t>A38</t>
  </si>
  <si>
    <t>Yes, the city has an energy performance strategy that includes building improvements</t>
  </si>
  <si>
    <t>Yes, the city is a Better Building Partner</t>
  </si>
  <si>
    <t>Although a policy is not place, the city has made substantial efficiency investments</t>
  </si>
  <si>
    <t>No, the city does not have a retrofit policy in place</t>
  </si>
  <si>
    <t>A39</t>
  </si>
  <si>
    <t>Yes, the city has implemented an aforementioned sustainable infrastructure policy</t>
  </si>
  <si>
    <t>No, the city has not implemented an aforementioned sustainable infrastructure policy</t>
  </si>
  <si>
    <t>Has your city adopted a comprehensive retrofit strategy for public buildings?</t>
  </si>
  <si>
    <t>Community-Wide</t>
  </si>
  <si>
    <t>GHG progress</t>
  </si>
  <si>
    <t>Yes, urban heat mitigation programs have been implemented</t>
  </si>
  <si>
    <t>No, urban heat mitigation programs have not been implemented</t>
  </si>
  <si>
    <t>Improve Access to Info</t>
  </si>
  <si>
    <t>A16</t>
  </si>
  <si>
    <t>Yes, an annual report is released tracking progress towards energy-related goals</t>
  </si>
  <si>
    <t>No annual report is released detailing progress on energy efficiency efforts</t>
  </si>
  <si>
    <t>A24</t>
  </si>
  <si>
    <t>Yes, target formally adopted and mainstreamed across community activities</t>
  </si>
  <si>
    <t>Target formally adopted but not mainstreamed across community activities</t>
  </si>
  <si>
    <t>Target identified through proposal or draft action plan, but not formally adopted</t>
  </si>
  <si>
    <t>Stakeholder group formed to formulate targets, but targets not yet identified</t>
  </si>
  <si>
    <t>Target identified for only specific neighborhoods rather than whole community</t>
  </si>
  <si>
    <t>A25</t>
  </si>
  <si>
    <t>Yes, dedicated funding is allocated for energy efficiency goals</t>
  </si>
  <si>
    <t>No, dedicated funding does not exist for energy efficiency goals</t>
  </si>
  <si>
    <t>A26</t>
  </si>
  <si>
    <t>Yes, there is independent EM&amp;V of progress toward community efficiency goals</t>
  </si>
  <si>
    <t>No, there is no independent EM&amp;V of progress toward community efficiency goals</t>
  </si>
  <si>
    <t>Yes, the city is on track to meet energy efficiency goals</t>
  </si>
  <si>
    <t>Unknown, the community cannot currently quantify progress towards goals</t>
  </si>
  <si>
    <t>No, the city is not on track to meet energy efficiency goals</t>
  </si>
  <si>
    <t>City has CHP capacity of 15MW or greater per 100,000 residents</t>
  </si>
  <si>
    <t>City has CHP capacity of 10MW or greater per 100,000 residents</t>
  </si>
  <si>
    <t>City has CHP capacity of 5 MW or greater per 100,000 residents</t>
  </si>
  <si>
    <t>City has CHP capacity of 2.5 MW or greater per 100,000 residents</t>
  </si>
  <si>
    <t>City has no CHP capacity</t>
  </si>
  <si>
    <t>City has at least one district energy system that integrates CHP</t>
  </si>
  <si>
    <t>City has at least one district energy system, but does not integrate with CHP</t>
  </si>
  <si>
    <t>No installed CHP, but city has done significant planning for future district energy</t>
  </si>
  <si>
    <t>City has no district energy and has not planned for future systems</t>
  </si>
  <si>
    <t>Yes, policies are in place to manage to urban heat island effect</t>
  </si>
  <si>
    <t>No, policies are not in place to manage to urban heat island effect</t>
  </si>
  <si>
    <t>Buildings Tab</t>
  </si>
  <si>
    <t>Questions</t>
  </si>
  <si>
    <t>A7, A10</t>
  </si>
  <si>
    <t>State Authority Only</t>
  </si>
  <si>
    <t>Local Authority Permitted</t>
  </si>
  <si>
    <t>Local Code Only</t>
  </si>
  <si>
    <t>&gt; or equal to 2012 IECC</t>
  </si>
  <si>
    <t>&gt; 2009 IECC</t>
  </si>
  <si>
    <t>2009 IECC</t>
  </si>
  <si>
    <t>1998 - 2006 IECC or greater</t>
  </si>
  <si>
    <t>No mandatory code adopted</t>
  </si>
  <si>
    <t>&gt; or equal to 2012 IECC or ASHRAE 2010</t>
  </si>
  <si>
    <t>&gt; 2009 IECC or ASHRAE 2007</t>
  </si>
  <si>
    <t>2009 IECC or ASHRAE 2007</t>
  </si>
  <si>
    <t>1998 - 2006 MECC/IECC or ASHRAE 1999 - 2004 or greater</t>
  </si>
  <si>
    <t>A17</t>
  </si>
  <si>
    <t>City Compliance Spending</t>
  </si>
  <si>
    <t>More than $60</t>
  </si>
  <si>
    <t>&lt;$30 to &lt;$60</t>
  </si>
  <si>
    <t>&lt;$20 to &lt;$30</t>
  </si>
  <si>
    <t>&lt;$10 to &lt;$20</t>
  </si>
  <si>
    <t>Less than $10</t>
  </si>
  <si>
    <t>Charts</t>
  </si>
  <si>
    <t>A8, A9</t>
  </si>
  <si>
    <t>Res - State Authority Only</t>
  </si>
  <si>
    <t>Stretch Code</t>
  </si>
  <si>
    <t xml:space="preserve">Code is ≥ 2015 IECC. </t>
  </si>
  <si>
    <t>Code is ≥ 2015 IECC.</t>
  </si>
  <si>
    <t>Code is &gt; 2012 IECC but &lt; 2015 IECC.</t>
  </si>
  <si>
    <t xml:space="preserve">Code = 2012 IECC. </t>
  </si>
  <si>
    <t>Code is &lt; 2012 IECC but &gt; 2009 IECC.</t>
  </si>
  <si>
    <t>Code is ≤ 2009 IECC, or there is no mandatory code, or state does not set codes.</t>
  </si>
  <si>
    <t>Code is ≤ 2009 IECC, or there is no mandatory code.</t>
  </si>
  <si>
    <t>Res - Local Authority Permitted OR Local Code Only</t>
  </si>
  <si>
    <t>&lt; 2009 IECC</t>
  </si>
  <si>
    <t>Com - State Authority OR Stretch Code</t>
  </si>
  <si>
    <t>Code is ≥ 2015 IECC or ASHRAE 2013.</t>
  </si>
  <si>
    <t>Code &gt; or equal 2015 IECC or ASHRAE 2013</t>
  </si>
  <si>
    <t>Code is &gt; 2012 IECC or ASHRAE 2010 but &lt; 2015 IECC or ASHRAE 2013.</t>
  </si>
  <si>
    <t>Code &gt; 2012 IECC or ASHRAE 2010</t>
  </si>
  <si>
    <t xml:space="preserve">Code = 2012 IECC or ASHRAE 2010. </t>
  </si>
  <si>
    <t xml:space="preserve">Code 2012 IECC or ASHRAE 2010 </t>
  </si>
  <si>
    <t>Code is &lt; 2012 IECC or ASHRAE 2010, or there is no mandatory code.</t>
  </si>
  <si>
    <t>Code &lt; 2012 IECC or ASHRAE 2010 or no mandatory code</t>
  </si>
  <si>
    <t>Com - Local Authority Permitted OR Local Code Only</t>
  </si>
  <si>
    <t>Improved Access to Info</t>
  </si>
  <si>
    <t>Yes, energy efficiency features are on the MLS that serves the metro area</t>
  </si>
  <si>
    <t>No, energy efficiency features are not on the MLS</t>
  </si>
  <si>
    <t xml:space="preserve">A21 </t>
  </si>
  <si>
    <t>Yes, we provide a form of upfront compliance support</t>
  </si>
  <si>
    <t>No, we do not provide compliance support</t>
  </si>
  <si>
    <t xml:space="preserve">A22 </t>
  </si>
  <si>
    <t>Yes, requirements exist for both residential AND commercial buildings</t>
  </si>
  <si>
    <t>Yes, requirements exist for residential OR commercial buildings</t>
  </si>
  <si>
    <t>No, the city does not have energy audit requirements</t>
  </si>
  <si>
    <t>A23, A26</t>
  </si>
  <si>
    <t>Yes, one of these requirements has been passed and implemented</t>
  </si>
  <si>
    <t>One of these requirements has been implemented, but not formally passed</t>
  </si>
  <si>
    <t>No, the city does not have one of these requirements</t>
  </si>
  <si>
    <t>&lt;5,000 square feet and greater</t>
  </si>
  <si>
    <t>&gt;10,000 square feet and greater</t>
  </si>
  <si>
    <t>&gt;35,000 square feet and greater</t>
  </si>
  <si>
    <t>The community does not have benchmarking requirements</t>
  </si>
  <si>
    <t>A28</t>
  </si>
  <si>
    <t>All residential building units (including single family homes) and greater</t>
  </si>
  <si>
    <t>&gt;10 units or 10,000 square feet and greater</t>
  </si>
  <si>
    <t>&gt;35 units or 35,000 square feet and greater</t>
  </si>
  <si>
    <t>A24, A30</t>
  </si>
  <si>
    <t>Participation in third-party plan review or performance testing is required</t>
  </si>
  <si>
    <t>Third-party program is set up as a compliance option, but is not mandatory</t>
  </si>
  <si>
    <t>No, third party compliance program exists</t>
  </si>
  <si>
    <t>A37, A39</t>
  </si>
  <si>
    <t>Yes, the city is an active advocate</t>
  </si>
  <si>
    <t>No, the city is not an active advocate</t>
  </si>
  <si>
    <t>A45</t>
  </si>
  <si>
    <t>Comprehensive Efficiency and Contractor Infrastructure</t>
  </si>
  <si>
    <t>Ratio of BPI and ES personnel to households is greater than 1</t>
  </si>
  <si>
    <t>Ratio of BPI and ES personnel to households is greater than 0.5 and less than 1</t>
  </si>
  <si>
    <t>No BPI or ES personnel in metro area</t>
  </si>
  <si>
    <t>A41</t>
  </si>
  <si>
    <t>Building Energy Savings Target</t>
  </si>
  <si>
    <t>Yes, the city has established an energy savings target for buildings</t>
  </si>
  <si>
    <t>No, the city has not established an energy savings targets for buildings</t>
  </si>
  <si>
    <t>A51</t>
  </si>
  <si>
    <t>Yes, households have access to a Home Performance</t>
  </si>
  <si>
    <t>No, households do not  have access to a Home Performance</t>
  </si>
  <si>
    <t>A49</t>
  </si>
  <si>
    <t>5 or more</t>
  </si>
  <si>
    <t>Mandates</t>
  </si>
  <si>
    <t>A60</t>
  </si>
  <si>
    <t>Requirements exist for residential AND commercial buildings</t>
  </si>
  <si>
    <t>Requirements exist for residential OR commercial buildings</t>
  </si>
  <si>
    <t>Requirements exist for buildings using public funds</t>
  </si>
  <si>
    <t>Above code requirements do not exist</t>
  </si>
  <si>
    <t>A61</t>
  </si>
  <si>
    <t>Requirement exists for residential AND commercial buildings</t>
  </si>
  <si>
    <t>Requirement exists for residential OR commercial buildings</t>
  </si>
  <si>
    <t>Retrofit requirement does not exist</t>
  </si>
  <si>
    <t>Electric and Water Utility</t>
  </si>
  <si>
    <t>Investor Owned Utility</t>
  </si>
  <si>
    <t>Municipally Owned Utility</t>
  </si>
  <si>
    <t>A8,A11</t>
  </si>
  <si>
    <t>Yes, the city promotes and/or partners with the utility on efficiency programs</t>
  </si>
  <si>
    <t>No, the city does not promote and/or partner with the utility on efficiency programs</t>
  </si>
  <si>
    <t>A9, A12</t>
  </si>
  <si>
    <t>Yes, the city advocates for additional energy efficiency spending/policies</t>
  </si>
  <si>
    <t>No, the city does not advocate for additional energy efficiency spending/policies</t>
  </si>
  <si>
    <t>Yes, the city advocates for improvements or has established sharing agreements</t>
  </si>
  <si>
    <t>No, the city does not advocate for improvements nor has established sharing agreements</t>
  </si>
  <si>
    <t>A14</t>
  </si>
  <si>
    <t>Yes, public funding is in place for green stormwater infrastructure</t>
  </si>
  <si>
    <t>No, public funding is not in place for green stormwater infrastructure</t>
  </si>
  <si>
    <t>A22</t>
  </si>
  <si>
    <t>Yes, the city has implemented Green Button or a similar online service</t>
  </si>
  <si>
    <t>The city has not yet implemented Green Button, but has committed to doing so</t>
  </si>
  <si>
    <t>No, the city has not implemented Green Button and has no plans to do so</t>
  </si>
  <si>
    <t>A23</t>
  </si>
  <si>
    <t>Yes, ABS is available through the ENERGY STAR Portfolio Manager</t>
  </si>
  <si>
    <t>Aggregated energy data is available, but only upon request</t>
  </si>
  <si>
    <t>No, aggregated energy data is not available</t>
  </si>
  <si>
    <t>Yes, aggregate energy usage data for the community is available</t>
  </si>
  <si>
    <t>No, aggregate energy usage data for the community is not available</t>
  </si>
  <si>
    <t>Yes, energy efficiency is incorporated into one of the aforementioned agreements</t>
  </si>
  <si>
    <t>While not required, the utility has a voluntary agreement to fund efficiency programs</t>
  </si>
  <si>
    <t>No, energy efficiency is not  incorporated into one of the aforementioned agreements</t>
  </si>
  <si>
    <t>EE Savings Requirements</t>
  </si>
  <si>
    <t>Yes, the city advocates for additional energy efficiency requirements</t>
  </si>
  <si>
    <t>No, the city does not advocate for additional energy efficiency requirements</t>
  </si>
  <si>
    <t>Yes, water efficiency programs are funded</t>
  </si>
  <si>
    <t>No, water efficiency programs are not funded</t>
  </si>
  <si>
    <t>Yes, water savings targets have been set</t>
  </si>
  <si>
    <t>No, water savings targets have not been set</t>
  </si>
  <si>
    <t xml:space="preserve">Yes, a specific energy efficiency target/strategy is in place </t>
  </si>
  <si>
    <t>Energy efficiency initiatives are being pursued, but a savings target is not in place</t>
  </si>
  <si>
    <t xml:space="preserve">No, a specific energy efficiency target/strategy is not in place </t>
  </si>
  <si>
    <t>Yes, the local wastewater utility self-generates energy</t>
  </si>
  <si>
    <t>Wastewater treatment plants capture energy resources, but do not use on site</t>
  </si>
  <si>
    <t>No, the local wastewater utility does not self-generate energy</t>
  </si>
  <si>
    <t>A53</t>
  </si>
  <si>
    <t>Yes, the city has enacted policies, rates, or incentives for this purpose</t>
  </si>
  <si>
    <t>No, the city has not enacted policies, rates, or incentives for this purpose</t>
  </si>
  <si>
    <t>A52</t>
  </si>
  <si>
    <t>1.4% or greater</t>
  </si>
  <si>
    <t>1 - 1.39%</t>
  </si>
  <si>
    <t>.6 - .99%</t>
  </si>
  <si>
    <t>.2 - .59%</t>
  </si>
  <si>
    <t>&lt;.2%</t>
  </si>
  <si>
    <t>Charts  (and answers) - A46</t>
  </si>
  <si>
    <t>Electric Program Spending - MOUs</t>
  </si>
  <si>
    <t>Electric Program Spending - IOUs</t>
  </si>
  <si>
    <t>4.0% +</t>
  </si>
  <si>
    <t>3.5–3.99%</t>
  </si>
  <si>
    <t>2.50–3.99%</t>
  </si>
  <si>
    <t>3–3.49%</t>
  </si>
  <si>
    <t>1.50–2.49%</t>
  </si>
  <si>
    <t>2.5–2.99%</t>
  </si>
  <si>
    <t>1–1.49%</t>
  </si>
  <si>
    <t>2–2.49%</t>
  </si>
  <si>
    <t>less than 1%</t>
  </si>
  <si>
    <t>1–1.99%</t>
  </si>
  <si>
    <t>0.40–0.99%</t>
  </si>
  <si>
    <t>Less than 0.40%</t>
  </si>
  <si>
    <t>Charts  (and answers) - A49</t>
  </si>
  <si>
    <t>Natural Gas Program Spending - MOUs</t>
  </si>
  <si>
    <t>$35 or greater</t>
  </si>
  <si>
    <t xml:space="preserve">$21 -34.99 </t>
  </si>
  <si>
    <t>$7 - 20.99</t>
  </si>
  <si>
    <t>$5-6.99</t>
  </si>
  <si>
    <t>Less than $5</t>
  </si>
  <si>
    <t>1.5% or greater</t>
  </si>
  <si>
    <t>1% - 1.49%</t>
  </si>
  <si>
    <t>0.5% - 0.99%</t>
  </si>
  <si>
    <t>0.1% - 0.49%</t>
  </si>
  <si>
    <t>&lt;.01%</t>
  </si>
  <si>
    <t>A62</t>
  </si>
  <si>
    <t>Yes, a cost cap is applied to the mandate</t>
  </si>
  <si>
    <t>No, a cost cap is not applied to the mandate</t>
  </si>
  <si>
    <t>N/a, there is no savings target</t>
  </si>
  <si>
    <t>A63</t>
  </si>
  <si>
    <t>Yes, natural gas is included in the mandate</t>
  </si>
  <si>
    <t>No, natural gas is not included in the mandate</t>
  </si>
  <si>
    <t>MOU Energy Efficiency Savings Targets</t>
  </si>
  <si>
    <t>IOU Energy Efficiency Savings Targets</t>
  </si>
  <si>
    <t>Electric utility GHG goals</t>
  </si>
  <si>
    <t>Target emissions</t>
  </si>
  <si>
    <t>Target emissions per capita</t>
  </si>
  <si>
    <t>Actual reduction</t>
  </si>
  <si>
    <t>Stringency %</t>
  </si>
  <si>
    <t>GHG stringency</t>
  </si>
  <si>
    <t xml:space="preserve">Getting Started </t>
  </si>
  <si>
    <t>B16</t>
  </si>
  <si>
    <t>Complete Streets</t>
  </si>
  <si>
    <t>NCSC Score greater than 75</t>
  </si>
  <si>
    <t>NCSC Score greater than 50 and less than 75</t>
  </si>
  <si>
    <t>NCSC Score greater than 25 and less than 50</t>
  </si>
  <si>
    <t>NCSC Score less than 25</t>
  </si>
  <si>
    <t>No complete streets policy in place</t>
  </si>
  <si>
    <t>B17</t>
  </si>
  <si>
    <t>Car Sharing</t>
  </si>
  <si>
    <t>Yes, the city has an operational car sharing program</t>
  </si>
  <si>
    <t>The city does not have one yet, but a car sharing program is under development</t>
  </si>
  <si>
    <t>No, the city does not have a car sharing program</t>
  </si>
  <si>
    <t>B18</t>
  </si>
  <si>
    <t>Bike Sharing</t>
  </si>
  <si>
    <t>Yes, the city has an operational bike sharing program</t>
  </si>
  <si>
    <t>The city does not have one yet, but a bike sharing program is under development</t>
  </si>
  <si>
    <t>No, the city does not have a bike sharing program</t>
  </si>
  <si>
    <t>B19</t>
  </si>
  <si>
    <t>Transit Funding</t>
  </si>
  <si>
    <t>Transit to Funding Ratio is greater than 3:1</t>
  </si>
  <si>
    <t>Transit to Funding Ratio is 2 to 2.99:1</t>
  </si>
  <si>
    <t>Transit to Funding Ratio is 1 to 1.99:1</t>
  </si>
  <si>
    <t>Transit to Funding Ratio is 0.5 to 0.99:1</t>
  </si>
  <si>
    <t>Transit to Funding Ratio is less than 0.5 but greater than 0</t>
  </si>
  <si>
    <t>B20</t>
  </si>
  <si>
    <t>Transportation Partnerships</t>
  </si>
  <si>
    <t>Yes, at least one city staff member actively engages with the Clean Cities Coalition</t>
  </si>
  <si>
    <t>No, city staff does not actively engage with the Clean Cities Coalition</t>
  </si>
  <si>
    <t>A Clean Cities Coalition does not exist in our region or state</t>
  </si>
  <si>
    <t>B27</t>
  </si>
  <si>
    <t>Location Efficiency Policies</t>
  </si>
  <si>
    <t>Yes, location efficiency policies are in place</t>
  </si>
  <si>
    <t>No, location efficiency policies are not in place</t>
  </si>
  <si>
    <t>B28</t>
  </si>
  <si>
    <t>Parking Requirements</t>
  </si>
  <si>
    <t>There are no minimum parking requirements for new developments</t>
  </si>
  <si>
    <t>Parking minimums have been removed in more than one neighborhood</t>
  </si>
  <si>
    <t>The parking requirement is an average of 0.5 parking spaces or fewer per residential unit</t>
  </si>
  <si>
    <t>The parking requirement is an average of 1 parking space or fewer per residential unit</t>
  </si>
  <si>
    <t>The parking requirement is an average of 1 parking space or more per residential unit</t>
  </si>
  <si>
    <t>B36</t>
  </si>
  <si>
    <t>Location Efficient Zoning</t>
  </si>
  <si>
    <t>A zoning code to encourage location-efficient development applies to the whole city</t>
  </si>
  <si>
    <t>A zoning code to encourage location-efficient development applies to certain areas/neighborhoods</t>
  </si>
  <si>
    <t>A zoning code to encourage location-efficient development does not exist</t>
  </si>
  <si>
    <t>B37</t>
  </si>
  <si>
    <t>VMT Targets</t>
  </si>
  <si>
    <t>Yes, a specific target has been adopted through legislation</t>
  </si>
  <si>
    <t>Yes, a specific target is part of a city sustainability plan</t>
  </si>
  <si>
    <t>No, a specific target has not been identified</t>
  </si>
  <si>
    <t>B38</t>
  </si>
  <si>
    <t>Target Implementation</t>
  </si>
  <si>
    <t>Yes, a plan is actively being implemented to achieve the target</t>
  </si>
  <si>
    <t>No, the city is not actively implementing a plan to achieve the target</t>
  </si>
  <si>
    <t>The city does not have a VMT or modal share target</t>
  </si>
  <si>
    <t>B39</t>
  </si>
  <si>
    <t>Transit Connectivity Index</t>
  </si>
  <si>
    <t>&gt;50,000</t>
  </si>
  <si>
    <t>20,000 to 50,000</t>
  </si>
  <si>
    <t>10,000 to 20,000</t>
  </si>
  <si>
    <t>5,000 to 10,000</t>
  </si>
  <si>
    <t>&gt;0 to 10,000</t>
  </si>
  <si>
    <t>B40</t>
  </si>
  <si>
    <t>Efficient intermodal freight facility to thousand ton mile ratio is 2 to 3:1</t>
  </si>
  <si>
    <t>Efficient intermodal freight facility to thousand ton mile ratio is 1 to 1.99</t>
  </si>
  <si>
    <t>Efficient intermodal freight facility to thousand ton mile ratio is 0.5 to 0.99</t>
  </si>
  <si>
    <t>Efficient intermodal freight facility to thousand ton mile ratio is 0 to 0.49</t>
  </si>
  <si>
    <t>Efficient intermodal freight facility to thousand ton mile ratio is 0</t>
  </si>
  <si>
    <t>B48</t>
  </si>
  <si>
    <t>Incentives for Mixed Use</t>
  </si>
  <si>
    <t>B50</t>
  </si>
  <si>
    <t>High Efficiency Vehicles</t>
  </si>
  <si>
    <t>Yes, city incentives are in place for the purchase of high efficiency vehicles</t>
  </si>
  <si>
    <t>No, city incentives are not in place for the purchase of high efficiency vehicles</t>
  </si>
  <si>
    <t>B51</t>
  </si>
  <si>
    <t>EV Charging Stations</t>
  </si>
  <si>
    <t>Yes, programs for the installation of EV charging infrastructure have been enacted</t>
  </si>
  <si>
    <t>No, programs for the installation of EV charging infrastructure have not been enacted</t>
  </si>
  <si>
    <t>B49</t>
  </si>
  <si>
    <t>Transportation Demand Management</t>
  </si>
  <si>
    <t>Yes, the city has implemented a broad set of TDM policies and programs</t>
  </si>
  <si>
    <t>The city offers some TDM programs or actively partners with/funds programs run by others</t>
  </si>
  <si>
    <t>The city does not have TDM policies or programs</t>
  </si>
  <si>
    <t>B60</t>
  </si>
  <si>
    <t>Efficient Vehicle Behavior</t>
  </si>
  <si>
    <t>Yes, the city has efficient vehicle behavior policies that apply to all private vehicles</t>
  </si>
  <si>
    <t>City has efficient-vehicle behavior policies, but they only apply to a subset of private vehicles</t>
  </si>
  <si>
    <t>No, the city does not have any such policies</t>
  </si>
  <si>
    <t>Analysis Chart</t>
  </si>
  <si>
    <t>Solution: Create mirror of chart on hidden Sheet with Max Score as the first column.  The use vlookups to pull in the sector name.  From there, use the sector name to pull in the piece of analysis.</t>
  </si>
  <si>
    <t>Local Government</t>
  </si>
  <si>
    <t>Results</t>
  </si>
  <si>
    <t>B34</t>
  </si>
  <si>
    <t xml:space="preserve">Buildings </t>
  </si>
  <si>
    <t>Grand Total</t>
  </si>
  <si>
    <t>2021 scores Updated 1/26/2022</t>
  </si>
  <si>
    <t>Local Government Operations
(10 pts)</t>
  </si>
  <si>
    <t>Community-Wide Initiatives
(15 pts.)</t>
  </si>
  <si>
    <t>Buildings Policies
(30 pts.)</t>
  </si>
  <si>
    <t>Energy and Water Utilities
(15 pts.)</t>
  </si>
  <si>
    <t>Transportation Policies
(30 pts.)</t>
  </si>
  <si>
    <t xml:space="preserve">TOTAL SCORE 
(100 pts.) </t>
  </si>
  <si>
    <t>rank</t>
  </si>
  <si>
    <t>New York</t>
  </si>
  <si>
    <t>Saint Paul</t>
  </si>
  <si>
    <t>Median City Scorecard Scores</t>
  </si>
  <si>
    <t>Arlington County, VA</t>
  </si>
  <si>
    <t>Oakland, CA</t>
  </si>
  <si>
    <t>Energy efficiency &amp; GHG emissions reduction goals</t>
  </si>
  <si>
    <t>Formal adoption</t>
  </si>
  <si>
    <t/>
  </si>
  <si>
    <t>Annual public reporting</t>
  </si>
  <si>
    <t>Procurement &amp; construction policies</t>
  </si>
  <si>
    <t>Public lighting</t>
  </si>
  <si>
    <t>New buildings and equipment</t>
  </si>
  <si>
    <t>Fleet efficiency and vehicle infrastructure</t>
  </si>
  <si>
    <t>Public workforce</t>
  </si>
  <si>
    <t>Building benchmarking</t>
  </si>
  <si>
    <t>Community-wide energy efficiency targets</t>
  </si>
  <si>
    <t>Community-wide GHG emissions reduction targets</t>
  </si>
  <si>
    <t>District energy &amp; CHP</t>
  </si>
  <si>
    <t>Efficient distributed energy systems planning</t>
  </si>
  <si>
    <t>Urban heat island goals</t>
  </si>
  <si>
    <t>Urban heat island strategies</t>
  </si>
  <si>
    <t>Stringency of building codes</t>
  </si>
  <si>
    <t xml:space="preserve">Residential energy code </t>
  </si>
  <si>
    <t xml:space="preserve">Commercial energy code </t>
  </si>
  <si>
    <t>Building code enforcement and compliance</t>
  </si>
  <si>
    <t>Dedicated staff for compliance</t>
  </si>
  <si>
    <t>Required training</t>
  </si>
  <si>
    <t>Upfront code support</t>
  </si>
  <si>
    <t>Compliance verification  programs</t>
  </si>
  <si>
    <t>Requirements and incentives</t>
  </si>
  <si>
    <t>Above-code requirements for certain private buildings</t>
  </si>
  <si>
    <t>Incentives or finance programs</t>
  </si>
  <si>
    <t>Benchmarking &amp; transparency</t>
  </si>
  <si>
    <t>Commercial benchmarking &amp; disclosure</t>
  </si>
  <si>
    <t>Residential benchmarking, rating, and disclosure policies</t>
  </si>
  <si>
    <t xml:space="preserve">Energy and water utility policies </t>
  </si>
  <si>
    <t>Electric/natural gas efficiency spending and savings</t>
  </si>
  <si>
    <t>Electric/natural gas efficiency spending</t>
  </si>
  <si>
    <t>Electric/natural gas savings</t>
  </si>
  <si>
    <t xml:space="preserve">Targetted energy efficiency programs </t>
  </si>
  <si>
    <t>Green Button Online</t>
  </si>
  <si>
    <t>Community-wide aggregated data</t>
  </si>
  <si>
    <t>Green infrastructure and stormwater plan</t>
  </si>
  <si>
    <t>Water utility energy efficiency programs</t>
  </si>
  <si>
    <t>VMT and greenhouse gas emissions from transportation</t>
  </si>
  <si>
    <t>Location efficiency incenctives and information</t>
  </si>
  <si>
    <t>Car and bike sharing</t>
  </si>
  <si>
    <t>Transportation funding</t>
  </si>
  <si>
    <t xml:space="preserve">Vehicle purchase incentives </t>
  </si>
  <si>
    <t>Electric vehicle charging stations infraestructure</t>
  </si>
  <si>
    <t>Encouraging energy-efficient freight deliveries</t>
  </si>
  <si>
    <t>Freight ICT</t>
  </si>
  <si>
    <t>Low-income transportation policies</t>
  </si>
  <si>
    <t>Transit-oriented development near affordable housing</t>
  </si>
  <si>
    <t>.</t>
  </si>
  <si>
    <t>Max Score</t>
  </si>
  <si>
    <t>Has the city demonstrated a reduction from its VMT/GHG baseline?</t>
  </si>
  <si>
    <t xml:space="preserve">Less than 50% of low-income households have access to high-quality transit. </t>
  </si>
  <si>
    <t>0.50-0.99%</t>
  </si>
  <si>
    <t>Less than 0.50%</t>
  </si>
  <si>
    <t xml:space="preserve">Has your city adopted the lighting controls provisions of the Model Lighting Ordinance for outdoor and street lighting, or a similar policy with a provision that directs those installing lighting to reduce lighting under certain conditions? </t>
  </si>
  <si>
    <t xml:space="preserve">What is your city's total onsite and offsite municipal renewable energy generation capacity (in kW or MW) per capita? </t>
  </si>
  <si>
    <t>Does your city have inclusive procurement and/or contracting processes for city contracts and purchasing, such as energy efficiency or renewable energy projects? If so, please provide an example of how the policy has been applied to at least one energy efficiency and/or renewable energy contract.</t>
  </si>
  <si>
    <t xml:space="preserve">Yes, the city has inclusive procurement and contracting processes that have been applied for energy efficiency or renewable energy projects.  </t>
  </si>
  <si>
    <t xml:space="preserve">No, the city does not have inclusive procurement and contracting processes for city energy projects or the city has not applied inclusive procurement and contracting processes to energy efficiency or renewable energy projects. </t>
  </si>
  <si>
    <t xml:space="preserve">Does your city have a dedicated and ongoing (annual) funding source available for completing energy efficiency improvement work beyond regular maintenance? </t>
  </si>
  <si>
    <t>Policy performance</t>
  </si>
  <si>
    <t xml:space="preserve">Average annual per household renewable energy conversion is less than 875 kWh but at least 490 kWh. </t>
  </si>
  <si>
    <t>The city has not formally adopted a community-wide renewable energy target, but has adopted a renewable energy target for a neighborhood, district, or sector.</t>
  </si>
  <si>
    <t xml:space="preserve">Yes, the city is pursuing innovative energy-saving action requirements in both commercial and residential buildings. </t>
  </si>
  <si>
    <t xml:space="preserve">Yes, the city is pursuing innovative energy-saving action requirements in either commercial or residential buildings. </t>
  </si>
  <si>
    <t xml:space="preserve">No, the city is not pursuing innovative energy-saving action requirements. </t>
  </si>
  <si>
    <t>Yes, the city has building performance standards for the affordable housing sector but does not offer at least 2 mechanisms to support compliance.</t>
  </si>
  <si>
    <t>No, the city does not have building performance standards for the affordable housing sector.</t>
  </si>
  <si>
    <t>The city is not on track to meet its goal but is projected to achieve savings within 25% of its stated goal.</t>
  </si>
  <si>
    <t xml:space="preserve">The city is not on track to meet its goal. </t>
  </si>
  <si>
    <t>PlacesForBikes score of less than 9 but greater than or equal to 6.</t>
  </si>
  <si>
    <t>City Transit Performance Score less than 9 but greater than or equal to 8.</t>
  </si>
  <si>
    <t>City Transit Performance Score less than 8 but greater than or equal to 7.</t>
  </si>
  <si>
    <t>City Transit Performance Score less than 7 but greater than or equal to 5.</t>
  </si>
  <si>
    <t>The city or utility has an incentive program in place for the purchase of high-efficiency vehicles.</t>
  </si>
  <si>
    <t>Neither the city nor utility has an incentive program in place for the purchase of high-efficiency vehicles.</t>
  </si>
  <si>
    <t>Neither the city nor transit agency has a goal to increase the number of EV transit buses in service.</t>
  </si>
  <si>
    <t>2.00% or greater</t>
  </si>
  <si>
    <t>The city has enacted enabling legislation for a community choice aggregation program but is not yet served by a CCA.</t>
  </si>
  <si>
    <t>Less than 5% per year but more than 3% per year</t>
  </si>
  <si>
    <t xml:space="preserve">The city has pursued four of these activities/strategies. </t>
  </si>
  <si>
    <t>The city has pursued one of these activities/strategies.</t>
  </si>
  <si>
    <t>Average annual energy savings is less than 3.5% and greater than or equal to 2%.</t>
  </si>
  <si>
    <t>City is not on track to meet nearest-term goal but is projected to achieve savings within 25% of its stated goal.</t>
  </si>
  <si>
    <t>The city is not projected to achieve savings within 25% of its stated goal or does not have quantitative savings data proving it is on track.</t>
  </si>
  <si>
    <t>The city does not have a strategy to procure fuel-efficient, low-emissions vehicles or vehicle types.</t>
  </si>
  <si>
    <t>City has installed less than 4W per capita but at least 1W per capita of onsite or offsite municipal renewable energy generation capacity.</t>
  </si>
  <si>
    <t>The city benchmarks at least 90% of buildings over 10,000 square feet.</t>
  </si>
  <si>
    <t>Does your city require disclosure of commercial energy use at the time-of-rent or lease?</t>
  </si>
  <si>
    <t>Does your city have building performance standards for the affordable housing sector? If so, does the policy provide at least two mechanisms to support affordable housing properties in complying with the policy?</t>
  </si>
  <si>
    <r>
      <t xml:space="preserve">In the baseline year of the goal, what was your city's
- Total electricity consumption </t>
    </r>
    <r>
      <rPr>
        <b/>
        <u/>
        <sz val="12"/>
        <rFont val="Calibri"/>
        <family val="2"/>
        <scheme val="minor"/>
      </rPr>
      <t>in kWh</t>
    </r>
    <r>
      <rPr>
        <sz val="12"/>
        <rFont val="Calibri"/>
        <family val="2"/>
        <scheme val="minor"/>
      </rPr>
      <t xml:space="preserve"> (renewable energy goal)
OR
- Total energy consumption (energy reduction goal)
OR
- Total GHG emissions (climate change mitigation goal)?</t>
    </r>
  </si>
  <si>
    <t>In the adoption year, what was your city's
- Renewable energy generation share (renewable energy goal)
OR
- Total energy consumption (energy reduction goal)
OR
-Total GHG emissions (climate change mitigation goal)?</t>
  </si>
  <si>
    <t xml:space="preserve">What were your city's total GHG emissions in the most recent year for which data are available? </t>
  </si>
  <si>
    <t>In the adoption year, what was your city's
- Population (energy reduction and climate change mitigation goall)
OR
- Total number of households (renewable energy goal)</t>
  </si>
  <si>
    <t>Has the city taken an equity-driven approach to the proliferation of shared, distributed energy systems? Examples of these approaches include
(1) Siting the system in an environmental justice community, low-income community, or affordable housing complex
(2) Designing the system to directly reduce energy bills for marginalized community residents 
(3) Reserving community solar shares for marginalized community residents</t>
  </si>
  <si>
    <t>Has the city taken an equity-driven approach to the proliferation of shared, distributed energy systems? Examples of these approaches include 
(1) Siting the system in an environmental justice community, low-income community, or affordable housing complex
(2) Designing the system to directly reduce energy bills for marginalized community residents 
(3) Reserving community solar shares for marginalized community residents</t>
  </si>
  <si>
    <t>Does your city require that new buildings install renewable-ready infrastructure? If not, has your city amended its zoning code to allow renewable energy use in all zones?</t>
  </si>
  <si>
    <t>Does your city require that new buildings install electric vehicle–ready infrastructure?</t>
  </si>
  <si>
    <t>Does your city have green building certification or low-energy-use requirements for new municipal, commercial, and/or residential buildings?</t>
  </si>
  <si>
    <t>In the past five years, has your city enacted inclusive workforce development initiatives or demonstrated a fulfillment of its inclusive procurement and contracting processes for public-facing energy efficiency projects?</t>
  </si>
  <si>
    <t>In the past five years, has your city enacted inclusive workforce development initiatives or demonstrated a fulfillment of its inclusive procurement and contracting processes for public-facing renewable energy projects?</t>
  </si>
  <si>
    <t>Does your city provide incentives or rebates for low-income residents for efficient transportation options? If so, how many efficient transportation options (e.g., bike sharing, EV car sharing, public transit) have been incentivized?</t>
  </si>
  <si>
    <t>Bonus point—Congestion pricing</t>
  </si>
  <si>
    <t>Bonus point—Equitable EV charging</t>
  </si>
  <si>
    <r>
      <t xml:space="preserve">Do city-required or supported </t>
    </r>
    <r>
      <rPr>
        <b/>
        <sz val="12"/>
        <rFont val="Calibri"/>
        <family val="2"/>
        <scheme val="minor"/>
      </rPr>
      <t>district energy systems</t>
    </r>
    <r>
      <rPr>
        <sz val="12"/>
        <rFont val="Calibri"/>
        <family val="2"/>
        <scheme val="minor"/>
      </rPr>
      <t xml:space="preserve"> include energy technologies that reduce their carbon footprint? Examples of these technologies include                                                         
(1) Integrated storage
(2) Electric vehicles 
(3) Combined heat and power (CHP) 
(4) Fuel cells
(5) Additional renewable energy technologies</t>
    </r>
  </si>
  <si>
    <t xml:space="preserve">How many of the following has your local government, electric and/or natural gas utility completed?
•Electric and/or natural gas utility provide(s) a portfolio of low-income energy efficiency programs, including at least one comprehensive low-income program.
•Electric and/or natural gas utility braid(s) funds with other sources for one or more of its low-income programs to cover health and safety and other program costs.
•Electric and/or natural gas utility include(s) health-related measures in its low-income program.
•(Munis only) The local government contributes funds toward local weatherization providers or other low-income energy efficiency efforts (excluding financing programs).
</t>
  </si>
  <si>
    <t xml:space="preserve">Does the utility serving your city provide automated benchmarking services through ENERGY STAR Portfolio Manager for multi-tenant commercial and/or multifamily buildings? </t>
  </si>
  <si>
    <t>Does the local wastewater utility self-generate energy, such as capturing methane to fuel CHP, or have renewable energy systems installed onsite?</t>
  </si>
  <si>
    <t>Does your city have a stand-alone sustainable transportation plan or strategies included within a broader plan that has been updated within the past five years?</t>
  </si>
  <si>
    <t>In the baseline year of the goal, what was your city's
- Total electricity consumption in kWh (renewable energy goal)
OR
- Total energy consumption (energy reduction goal)
OR
- Total GHG emissions (climate change mitigation goal)?</t>
  </si>
  <si>
    <t>In the adoption year, what was your city's
- Population (energy reduction and climate change mitigation goal)
OR
- Total number of households (renewable energy goal)</t>
  </si>
  <si>
    <t>Clean distributed energy resource integration</t>
  </si>
  <si>
    <t xml:space="preserve">The city provides neither incentives nor rebates to low-income residents for efficient transportation options. </t>
  </si>
  <si>
    <t>The utility provides automated benchmarking services through ENERGY STAR Portfolio Manager for multi-tenant commercial and/or multifamily buildings.</t>
  </si>
  <si>
    <t>The utility does not provide automated benchmarking services through ENERGY STAR Portfolio Manager for multi-tenant commercial and/or multifamily buildings.</t>
  </si>
  <si>
    <t>The city has a comprehensive retrofit strategy in place but does not provide data on results of retrofit projects.</t>
  </si>
  <si>
    <t>Does the local government attach affordability covenants to energy incentive and financing programs?</t>
  </si>
  <si>
    <t>Local government</t>
  </si>
  <si>
    <t>Local govt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</si>
</sst>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1" formatCode="_(* #,##0_);_(* \(#,##0\);_(* &quot;-&quot;_);_(@_)"/>
    <numFmt numFmtId="44" formatCode="_(&quot;$&quot;* #,##0.00_);_(&quot;$&quot;* \(#,##0.00\);_(&quot;$&quot;* &quot;-&quot;??_);_(@_)"/>
    <numFmt numFmtId="43" formatCode="_(* #,##0.00_);_(* \(#,##0.00\);_(* &quot;-&quot;??_);_(@_)"/>
    <numFmt numFmtId="164" formatCode="0.0"/>
    <numFmt numFmtId="165" formatCode="0.0%"/>
    <numFmt numFmtId="166" formatCode="_(* #,##0_);_(* \(#,##0\);_(* &quot;-&quot;??_);_(@_)"/>
    <numFmt numFmtId="167" formatCode="&quot;$&quot;#,##0"/>
    <numFmt numFmtId="168" formatCode="General;General;"/>
    <numFmt numFmtId="169" formatCode="0;\-0;;@"/>
  </numFmts>
  <fonts count="79">
    <font>
      <sz val="11"/>
      <color theme="1"/>
      <name val="Calibri"/>
      <family val="2"/>
      <scheme val="minor"/>
    </font>
    <font>
      <b/>
      <sz val="11"/>
      <color theme="0"/>
      <name val="Calibri"/>
      <family val="2"/>
      <scheme val="minor"/>
    </font>
    <font>
      <sz val="11"/>
      <color theme="0"/>
      <name val="Calibri"/>
      <family val="2"/>
      <scheme val="minor"/>
    </font>
    <font>
      <b/>
      <sz val="16"/>
      <color theme="0"/>
      <name val="Calibri"/>
      <family val="2"/>
      <scheme val="minor"/>
    </font>
    <font>
      <b/>
      <sz val="11"/>
      <color theme="1"/>
      <name val="Calibri"/>
      <family val="2"/>
      <scheme val="minor"/>
    </font>
    <font>
      <i/>
      <sz val="11"/>
      <color theme="1"/>
      <name val="Calibri"/>
      <family val="2"/>
      <scheme val="minor"/>
    </font>
    <font>
      <b/>
      <sz val="11"/>
      <name val="Calibri"/>
      <family val="2"/>
      <scheme val="minor"/>
    </font>
    <font>
      <u/>
      <sz val="11"/>
      <color theme="10"/>
      <name val="Calibri"/>
      <family val="2"/>
      <scheme val="minor"/>
    </font>
    <font>
      <sz val="24"/>
      <color theme="1"/>
      <name val="Calibri"/>
      <family val="2"/>
      <scheme val="minor"/>
    </font>
    <font>
      <sz val="11"/>
      <name val="Calibri"/>
      <family val="2"/>
      <scheme val="minor"/>
    </font>
    <font>
      <sz val="8"/>
      <color indexed="81"/>
      <name val="Tahoma"/>
      <family val="2"/>
    </font>
    <font>
      <b/>
      <sz val="16"/>
      <color theme="1"/>
      <name val="Calibri"/>
      <family val="2"/>
      <scheme val="minor"/>
    </font>
    <font>
      <sz val="11"/>
      <color rgb="FFFF0000"/>
      <name val="Calibri"/>
      <family val="2"/>
      <scheme val="minor"/>
    </font>
    <font>
      <b/>
      <i/>
      <sz val="11"/>
      <color theme="1"/>
      <name val="Calibri"/>
      <family val="2"/>
      <scheme val="minor"/>
    </font>
    <font>
      <sz val="11"/>
      <color theme="1"/>
      <name val="Calibri"/>
      <family val="2"/>
    </font>
    <font>
      <sz val="11"/>
      <color theme="1"/>
      <name val="Calibri"/>
      <family val="2"/>
      <scheme val="minor"/>
    </font>
    <font>
      <sz val="10"/>
      <name val="Arial"/>
      <family val="2"/>
    </font>
    <font>
      <b/>
      <sz val="16"/>
      <name val="Calibri"/>
      <family val="2"/>
      <scheme val="minor"/>
    </font>
    <font>
      <sz val="14"/>
      <name val="Calibri"/>
      <family val="2"/>
      <scheme val="minor"/>
    </font>
    <font>
      <sz val="12"/>
      <name val="Calibri"/>
      <family val="2"/>
      <scheme val="minor"/>
    </font>
    <font>
      <b/>
      <sz val="8"/>
      <color theme="0"/>
      <name val="Calibri"/>
      <family val="2"/>
      <scheme val="minor"/>
    </font>
    <font>
      <u/>
      <sz val="10"/>
      <color indexed="12"/>
      <name val="Arial"/>
      <family val="2"/>
    </font>
    <font>
      <sz val="10"/>
      <name val="MS Sans Serif"/>
      <family val="2"/>
    </font>
    <font>
      <u/>
      <sz val="10"/>
      <color indexed="12"/>
      <name val="MS Sans Serif"/>
      <family val="2"/>
    </font>
    <font>
      <sz val="10"/>
      <name val="Albertus Medium"/>
      <family val="2"/>
    </font>
    <font>
      <b/>
      <sz val="20"/>
      <color theme="0"/>
      <name val="Calibri"/>
      <family val="2"/>
      <scheme val="minor"/>
    </font>
    <font>
      <b/>
      <sz val="12"/>
      <color theme="0"/>
      <name val="Calibri"/>
      <family val="2"/>
      <scheme val="minor"/>
    </font>
    <font>
      <sz val="9"/>
      <color indexed="81"/>
      <name val="Tahoma"/>
      <family val="2"/>
    </font>
    <font>
      <b/>
      <sz val="14"/>
      <color theme="0"/>
      <name val="Calibri"/>
      <family val="2"/>
      <scheme val="minor"/>
    </font>
    <font>
      <b/>
      <sz val="24"/>
      <color theme="0"/>
      <name val="Calibri"/>
      <family val="2"/>
      <scheme val="minor"/>
    </font>
    <font>
      <sz val="10"/>
      <color indexed="81"/>
      <name val="Tahoma"/>
      <family val="2"/>
    </font>
    <font>
      <b/>
      <sz val="10"/>
      <color indexed="81"/>
      <name val="Tahoma"/>
      <family val="2"/>
    </font>
    <font>
      <b/>
      <sz val="10"/>
      <name val="Arial"/>
      <family val="2"/>
    </font>
    <font>
      <b/>
      <sz val="9"/>
      <color indexed="81"/>
      <name val="Tahoma"/>
      <family val="2"/>
    </font>
    <font>
      <sz val="11"/>
      <color rgb="FF000000"/>
      <name val="Calibri"/>
      <family val="2"/>
    </font>
    <font>
      <b/>
      <sz val="11"/>
      <color rgb="FFFF0000"/>
      <name val="Calibri"/>
      <family val="2"/>
      <scheme val="minor"/>
    </font>
    <font>
      <b/>
      <sz val="16"/>
      <color rgb="FFFF0000"/>
      <name val="Calibri"/>
      <family val="2"/>
      <scheme val="minor"/>
    </font>
    <font>
      <sz val="10"/>
      <name val="Myriad Pro"/>
      <family val="2"/>
    </font>
    <font>
      <sz val="10"/>
      <color theme="1"/>
      <name val="Myriad Pro"/>
      <family val="2"/>
    </font>
    <font>
      <sz val="9"/>
      <color theme="1"/>
      <name val="Arial"/>
      <family val="2"/>
    </font>
    <font>
      <sz val="11"/>
      <color rgb="FF000000"/>
      <name val="Calibri"/>
      <family val="2"/>
      <scheme val="minor"/>
    </font>
    <font>
      <b/>
      <sz val="24"/>
      <name val="Calibri"/>
      <family val="2"/>
      <scheme val="minor"/>
    </font>
    <font>
      <sz val="9.5"/>
      <color theme="1"/>
      <name val="Calibri"/>
      <family val="2"/>
      <scheme val="minor"/>
    </font>
    <font>
      <sz val="9.5"/>
      <name val="Calibri"/>
      <family val="2"/>
      <scheme val="minor"/>
    </font>
    <font>
      <b/>
      <sz val="10"/>
      <color rgb="FF000000"/>
      <name val="Tahoma"/>
      <family val="2"/>
    </font>
    <font>
      <sz val="10"/>
      <color rgb="FF000000"/>
      <name val="Tahoma"/>
      <family val="2"/>
    </font>
    <font>
      <b/>
      <sz val="9"/>
      <color rgb="FF000000"/>
      <name val="Tahoma"/>
      <family val="2"/>
    </font>
    <font>
      <sz val="9"/>
      <color rgb="FF000000"/>
      <name val="Tahoma"/>
      <family val="2"/>
    </font>
    <font>
      <sz val="10"/>
      <color rgb="FF339966"/>
      <name val="Tahoma"/>
      <family val="2"/>
    </font>
    <font>
      <sz val="8"/>
      <color rgb="FF000000"/>
      <name val="Tahoma"/>
      <family val="2"/>
    </font>
    <font>
      <b/>
      <i/>
      <sz val="10"/>
      <color rgb="FF000000"/>
      <name val="Tahoma"/>
      <family val="2"/>
    </font>
    <font>
      <sz val="11"/>
      <name val="Calibri (Body)"/>
    </font>
    <font>
      <b/>
      <sz val="10"/>
      <color indexed="8"/>
      <name val="Tahoma"/>
      <family val="2"/>
    </font>
    <font>
      <sz val="10"/>
      <color indexed="8"/>
      <name val="Tahoma"/>
      <family val="2"/>
    </font>
    <font>
      <sz val="9"/>
      <color indexed="8"/>
      <name val="Tahoma"/>
      <family val="2"/>
    </font>
    <font>
      <sz val="11"/>
      <color rgb="FFFF0000"/>
      <name val="Calibri"/>
      <family val="2"/>
    </font>
    <font>
      <sz val="11"/>
      <color rgb="FF60AF01"/>
      <name val="Calibri"/>
      <family val="2"/>
    </font>
    <font>
      <b/>
      <sz val="11"/>
      <color rgb="FF60AF01"/>
      <name val="Calibri"/>
      <family val="2"/>
      <scheme val="minor"/>
    </font>
    <font>
      <sz val="11"/>
      <color rgb="FF60AF01"/>
      <name val="Calibri"/>
      <family val="2"/>
      <scheme val="minor"/>
    </font>
    <font>
      <sz val="11"/>
      <color rgb="FF3333FF"/>
      <name val="Calibri"/>
      <family val="2"/>
      <scheme val="minor"/>
    </font>
    <font>
      <sz val="11"/>
      <name val="Calibri"/>
      <family val="2"/>
    </font>
    <font>
      <sz val="11"/>
      <color rgb="FF3333FF"/>
      <name val="Calibri"/>
      <family val="2"/>
    </font>
    <font>
      <b/>
      <sz val="16"/>
      <color rgb="FF3333FF"/>
      <name val="Calibri"/>
      <family val="2"/>
      <scheme val="minor"/>
    </font>
    <font>
      <b/>
      <sz val="11"/>
      <color rgb="FF000000"/>
      <name val="Calibri"/>
      <family val="2"/>
      <scheme val="minor"/>
    </font>
    <font>
      <b/>
      <sz val="12"/>
      <color rgb="FFFFFFFF"/>
      <name val="Calibri"/>
      <family val="2"/>
      <scheme val="minor"/>
    </font>
    <font>
      <sz val="12"/>
      <color theme="1"/>
      <name val="Calibri"/>
      <family val="2"/>
      <scheme val="minor"/>
    </font>
    <font>
      <b/>
      <u/>
      <sz val="12"/>
      <name val="Calibri"/>
      <family val="2"/>
      <scheme val="minor"/>
    </font>
    <font>
      <u/>
      <sz val="12"/>
      <color theme="10"/>
      <name val="Calibri"/>
      <family val="2"/>
      <scheme val="minor"/>
    </font>
    <font>
      <b/>
      <sz val="12"/>
      <name val="Calibri"/>
      <family val="2"/>
      <scheme val="minor"/>
    </font>
    <font>
      <u/>
      <sz val="12"/>
      <color rgb="FF3333FF"/>
      <name val="Calibri"/>
      <family val="2"/>
      <scheme val="minor"/>
    </font>
    <font>
      <b/>
      <sz val="12"/>
      <color rgb="FFFF0000"/>
      <name val="Calibri"/>
      <family val="2"/>
      <scheme val="minor"/>
    </font>
    <font>
      <b/>
      <sz val="12"/>
      <color theme="1"/>
      <name val="Calibri"/>
      <family val="2"/>
      <scheme val="minor"/>
    </font>
    <font>
      <b/>
      <i/>
      <sz val="12"/>
      <name val="Calibri"/>
      <family val="2"/>
      <scheme val="minor"/>
    </font>
    <font>
      <b/>
      <i/>
      <sz val="12"/>
      <color theme="1"/>
      <name val="Calibri"/>
      <family val="2"/>
      <scheme val="minor"/>
    </font>
    <font>
      <sz val="12"/>
      <color theme="0"/>
      <name val="Calibri"/>
      <family val="2"/>
      <scheme val="minor"/>
    </font>
    <font>
      <i/>
      <sz val="12"/>
      <name val="Calibri"/>
      <family val="2"/>
      <scheme val="minor"/>
    </font>
    <font>
      <sz val="12"/>
      <name val="Arial"/>
      <family val="2"/>
    </font>
    <font>
      <sz val="12"/>
      <color rgb="FF000000"/>
      <name val="Calibri"/>
      <family val="2"/>
      <scheme val="minor"/>
    </font>
    <font>
      <i/>
      <sz val="12"/>
      <color rgb="FF000000"/>
      <name val="Calibri"/>
      <family val="2"/>
      <scheme val="minor"/>
    </font>
  </fonts>
  <fills count="17">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B8CCE4"/>
        <bgColor indexed="64"/>
      </patternFill>
    </fill>
    <fill>
      <patternFill patternType="solid">
        <fgColor rgb="FFFFFFFF"/>
        <bgColor indexed="64"/>
      </patternFill>
    </fill>
    <fill>
      <patternFill patternType="solid">
        <fgColor rgb="FF99CCFF"/>
        <bgColor indexed="64"/>
      </patternFill>
    </fill>
    <fill>
      <patternFill patternType="solid">
        <fgColor rgb="FF2A3950"/>
        <bgColor indexed="64"/>
      </patternFill>
    </fill>
    <fill>
      <patternFill patternType="solid">
        <fgColor rgb="FFDAEEF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theme="4" tint="0.39997558519241921"/>
      </left>
      <right/>
      <top style="thin">
        <color auto="1"/>
      </top>
      <bottom style="thin">
        <color auto="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rgb="FFBFBFBF"/>
      </left>
      <right style="medium">
        <color rgb="FFBFBFBF"/>
      </right>
      <top style="medium">
        <color rgb="FFBFBFBF"/>
      </top>
      <bottom style="medium">
        <color rgb="FFBFBFBF"/>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diagonal/>
    </border>
  </borders>
  <cellStyleXfs count="17">
    <xf numFmtId="0" fontId="0" fillId="0" borderId="0"/>
    <xf numFmtId="0" fontId="7" fillId="0" borderId="0" applyNumberForma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0" fontId="16" fillId="0" borderId="0"/>
    <xf numFmtId="43" fontId="16" fillId="0" borderId="0" applyFont="0" applyFill="0" applyBorder="0" applyAlignment="0" applyProtection="0"/>
    <xf numFmtId="44" fontId="16" fillId="0" borderId="0" applyFont="0" applyFill="0" applyBorder="0" applyAlignment="0" applyProtection="0"/>
    <xf numFmtId="0" fontId="21" fillId="0" borderId="0" applyNumberFormat="0" applyFill="0" applyBorder="0" applyAlignment="0" applyProtection="0">
      <alignment vertical="top"/>
      <protection locked="0"/>
    </xf>
    <xf numFmtId="0" fontId="23" fillId="0" borderId="0" applyNumberFormat="0" applyFill="0" applyBorder="0" applyAlignment="0" applyProtection="0"/>
    <xf numFmtId="0" fontId="15" fillId="0" borderId="0"/>
    <xf numFmtId="0" fontId="22" fillId="0" borderId="0"/>
    <xf numFmtId="0" fontId="15" fillId="0" borderId="0"/>
    <xf numFmtId="0" fontId="15" fillId="0" borderId="0"/>
    <xf numFmtId="0" fontId="22" fillId="0" borderId="0"/>
    <xf numFmtId="0" fontId="24" fillId="0" borderId="0"/>
    <xf numFmtId="9" fontId="16" fillId="0" borderId="0" applyFont="0" applyFill="0" applyBorder="0" applyAlignment="0" applyProtection="0"/>
    <xf numFmtId="165" fontId="16" fillId="0" borderId="0" applyFont="0" applyFill="0" applyBorder="0" applyAlignment="0" applyProtection="0"/>
  </cellStyleXfs>
  <cellXfs count="625">
    <xf numFmtId="0" fontId="0" fillId="0" borderId="0" xfId="0"/>
    <xf numFmtId="0" fontId="4" fillId="0" borderId="0" xfId="0" applyFont="1"/>
    <xf numFmtId="0" fontId="4" fillId="3" borderId="1" xfId="0" applyFont="1" applyFill="1" applyBorder="1" applyAlignment="1">
      <alignment vertical="center"/>
    </xf>
    <xf numFmtId="49" fontId="0" fillId="0" borderId="0" xfId="0" applyNumberFormat="1"/>
    <xf numFmtId="1" fontId="0" fillId="0" borderId="0" xfId="0" applyNumberFormat="1"/>
    <xf numFmtId="164" fontId="0" fillId="0" borderId="0" xfId="0" applyNumberFormat="1"/>
    <xf numFmtId="1" fontId="4" fillId="0" borderId="0" xfId="0" applyNumberFormat="1" applyFont="1"/>
    <xf numFmtId="0" fontId="11" fillId="0" borderId="0" xfId="0" applyFont="1"/>
    <xf numFmtId="0" fontId="5" fillId="3" borderId="1" xfId="0" applyFont="1" applyFill="1" applyBorder="1" applyAlignment="1">
      <alignment horizontal="center"/>
    </xf>
    <xf numFmtId="0" fontId="14" fillId="0" borderId="0" xfId="0" applyFont="1"/>
    <xf numFmtId="0" fontId="0" fillId="6" borderId="0" xfId="0" applyFill="1"/>
    <xf numFmtId="0" fontId="0" fillId="0" borderId="0" xfId="0" applyAlignment="1">
      <alignment horizontal="left"/>
    </xf>
    <xf numFmtId="0" fontId="1" fillId="4" borderId="9" xfId="0" applyFont="1" applyFill="1" applyBorder="1" applyAlignment="1">
      <alignment horizontal="left"/>
    </xf>
    <xf numFmtId="0" fontId="13" fillId="3" borderId="1" xfId="0" applyFont="1" applyFill="1" applyBorder="1" applyAlignment="1">
      <alignment horizontal="left"/>
    </xf>
    <xf numFmtId="0" fontId="4" fillId="3" borderId="1" xfId="0" applyFont="1" applyFill="1" applyBorder="1" applyAlignment="1">
      <alignment horizontal="left"/>
    </xf>
    <xf numFmtId="0" fontId="13" fillId="3" borderId="1" xfId="0" applyFont="1" applyFill="1" applyBorder="1" applyAlignment="1">
      <alignment horizontal="left" vertical="top"/>
    </xf>
    <xf numFmtId="0" fontId="1" fillId="4" borderId="19" xfId="0" applyFont="1" applyFill="1" applyBorder="1" applyAlignment="1">
      <alignment horizontal="left"/>
    </xf>
    <xf numFmtId="9" fontId="4" fillId="0" borderId="0" xfId="0" applyNumberFormat="1" applyFont="1"/>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2" borderId="24" xfId="0" applyFont="1" applyFill="1" applyBorder="1" applyAlignment="1">
      <alignment vertical="center"/>
    </xf>
    <xf numFmtId="0" fontId="3" fillId="8" borderId="0" xfId="0" applyFont="1" applyFill="1" applyAlignment="1">
      <alignment horizontal="center"/>
    </xf>
    <xf numFmtId="0" fontId="0" fillId="8" borderId="0" xfId="0" applyFill="1"/>
    <xf numFmtId="0" fontId="18" fillId="8" borderId="0" xfId="0" applyFont="1" applyFill="1" applyAlignment="1">
      <alignment horizontal="left"/>
    </xf>
    <xf numFmtId="0" fontId="17" fillId="8" borderId="0" xfId="0" applyFont="1" applyFill="1" applyAlignment="1">
      <alignment horizontal="center"/>
    </xf>
    <xf numFmtId="0" fontId="3" fillId="8" borderId="0" xfId="0" applyFont="1" applyFill="1" applyAlignment="1">
      <alignment horizontal="left"/>
    </xf>
    <xf numFmtId="0" fontId="0" fillId="8" borderId="0" xfId="0" applyFill="1" applyAlignment="1" applyProtection="1">
      <alignment horizontal="left" vertical="top" wrapText="1"/>
      <protection locked="0"/>
    </xf>
    <xf numFmtId="0" fontId="0" fillId="8" borderId="0" xfId="0" applyFill="1" applyAlignment="1" applyProtection="1">
      <alignment vertical="top" wrapText="1"/>
      <protection locked="0"/>
    </xf>
    <xf numFmtId="0" fontId="0" fillId="8" borderId="0" xfId="0" applyFill="1" applyAlignment="1">
      <alignment horizontal="center" vertical="center"/>
    </xf>
    <xf numFmtId="0" fontId="1" fillId="8" borderId="0" xfId="0" applyFont="1" applyFill="1" applyAlignment="1">
      <alignment horizontal="center" vertical="center" wrapText="1"/>
    </xf>
    <xf numFmtId="0" fontId="0" fillId="8" borderId="0" xfId="0" applyFill="1" applyAlignment="1">
      <alignment vertical="top" wrapText="1"/>
    </xf>
    <xf numFmtId="0" fontId="12" fillId="8" borderId="0" xfId="0" applyFont="1" applyFill="1"/>
    <xf numFmtId="164" fontId="19" fillId="8" borderId="0" xfId="0" applyNumberFormat="1" applyFont="1" applyFill="1" applyAlignment="1">
      <alignment horizontal="center"/>
    </xf>
    <xf numFmtId="0" fontId="1" fillId="8" borderId="0" xfId="0" applyFont="1" applyFill="1" applyAlignment="1">
      <alignment vertical="center"/>
    </xf>
    <xf numFmtId="0" fontId="9" fillId="8" borderId="0" xfId="0" applyFont="1" applyFill="1"/>
    <xf numFmtId="0" fontId="1" fillId="8" borderId="0" xfId="0" applyFont="1" applyFill="1" applyAlignment="1">
      <alignment horizontal="center" vertical="top" wrapText="1"/>
    </xf>
    <xf numFmtId="0" fontId="16" fillId="8" borderId="0" xfId="4" applyFill="1"/>
    <xf numFmtId="0" fontId="0" fillId="8" borderId="0" xfId="0" applyFill="1" applyAlignment="1">
      <alignment horizontal="center"/>
    </xf>
    <xf numFmtId="0" fontId="25" fillId="8" borderId="0" xfId="0" applyFont="1" applyFill="1"/>
    <xf numFmtId="0" fontId="3" fillId="8" borderId="5" xfId="0" applyFont="1" applyFill="1" applyBorder="1" applyAlignment="1">
      <alignment horizontal="left"/>
    </xf>
    <xf numFmtId="0" fontId="0" fillId="8" borderId="0" xfId="0" applyFill="1" applyAlignment="1">
      <alignment wrapText="1"/>
    </xf>
    <xf numFmtId="0" fontId="4" fillId="8" borderId="0" xfId="0" applyFont="1" applyFill="1"/>
    <xf numFmtId="0" fontId="4" fillId="3" borderId="33" xfId="0" applyFont="1" applyFill="1" applyBorder="1" applyAlignment="1">
      <alignment vertical="center"/>
    </xf>
    <xf numFmtId="0" fontId="1" fillId="4" borderId="11" xfId="0" applyFont="1" applyFill="1" applyBorder="1"/>
    <xf numFmtId="0" fontId="1" fillId="4" borderId="22" xfId="0" applyFont="1" applyFill="1" applyBorder="1"/>
    <xf numFmtId="0" fontId="0" fillId="0" borderId="1" xfId="0" applyBorder="1"/>
    <xf numFmtId="0" fontId="5" fillId="3" borderId="4" xfId="0" applyFont="1" applyFill="1" applyBorder="1" applyAlignment="1">
      <alignment horizontal="center"/>
    </xf>
    <xf numFmtId="0" fontId="5" fillId="3" borderId="14" xfId="0" applyFont="1" applyFill="1" applyBorder="1" applyAlignment="1">
      <alignment horizontal="center"/>
    </xf>
    <xf numFmtId="0" fontId="4" fillId="3" borderId="11" xfId="0" applyFont="1" applyFill="1" applyBorder="1" applyAlignment="1">
      <alignment horizontal="left"/>
    </xf>
    <xf numFmtId="0" fontId="5" fillId="3" borderId="11" xfId="0" applyFont="1" applyFill="1" applyBorder="1" applyAlignment="1">
      <alignment horizontal="right"/>
    </xf>
    <xf numFmtId="0" fontId="5" fillId="3" borderId="33" xfId="0" applyFont="1" applyFill="1" applyBorder="1" applyAlignment="1">
      <alignment horizontal="right"/>
    </xf>
    <xf numFmtId="0" fontId="5" fillId="3" borderId="13" xfId="0" applyFont="1" applyFill="1" applyBorder="1" applyAlignment="1">
      <alignment horizontal="right"/>
    </xf>
    <xf numFmtId="0" fontId="19" fillId="9" borderId="28" xfId="0" applyFont="1" applyFill="1" applyBorder="1" applyAlignment="1" applyProtection="1">
      <alignment horizontal="center"/>
      <protection hidden="1"/>
    </xf>
    <xf numFmtId="0" fontId="28" fillId="2" borderId="27" xfId="0" applyFont="1" applyFill="1" applyBorder="1" applyAlignment="1" applyProtection="1">
      <alignment horizontal="center" vertical="center"/>
      <protection hidden="1"/>
    </xf>
    <xf numFmtId="0" fontId="5" fillId="3" borderId="1" xfId="2" applyNumberFormat="1" applyFont="1" applyFill="1" applyBorder="1" applyAlignment="1" applyProtection="1">
      <alignment horizontal="center"/>
      <protection hidden="1"/>
    </xf>
    <xf numFmtId="0" fontId="1" fillId="4" borderId="1" xfId="0" applyFont="1" applyFill="1" applyBorder="1" applyAlignment="1" applyProtection="1">
      <alignment horizontal="left"/>
      <protection hidden="1"/>
    </xf>
    <xf numFmtId="1" fontId="1" fillId="4" borderId="10" xfId="0" applyNumberFormat="1" applyFont="1" applyFill="1" applyBorder="1" applyAlignment="1" applyProtection="1">
      <alignment horizontal="left"/>
      <protection hidden="1"/>
    </xf>
    <xf numFmtId="0" fontId="4" fillId="2" borderId="0" xfId="0" applyFont="1" applyFill="1" applyAlignment="1" applyProtection="1">
      <alignment vertical="center"/>
      <protection hidden="1"/>
    </xf>
    <xf numFmtId="0" fontId="13" fillId="3" borderId="1" xfId="0" applyFont="1" applyFill="1" applyBorder="1" applyAlignment="1" applyProtection="1">
      <alignment horizontal="left"/>
      <protection hidden="1"/>
    </xf>
    <xf numFmtId="0" fontId="1" fillId="4" borderId="10" xfId="0" applyFont="1" applyFill="1" applyBorder="1" applyAlignment="1" applyProtection="1">
      <alignment horizontal="left"/>
      <protection hidden="1"/>
    </xf>
    <xf numFmtId="0" fontId="0" fillId="0" borderId="35" xfId="0" applyBorder="1"/>
    <xf numFmtId="0" fontId="0" fillId="0" borderId="24" xfId="0" applyBorder="1"/>
    <xf numFmtId="0" fontId="0" fillId="8" borderId="0" xfId="0" applyFill="1" applyAlignment="1">
      <alignment horizontal="left" vertical="center" wrapText="1"/>
    </xf>
    <xf numFmtId="41" fontId="9" fillId="8" borderId="0" xfId="2" applyNumberFormat="1" applyFont="1" applyFill="1" applyBorder="1" applyAlignment="1" applyProtection="1">
      <alignment horizontal="center" wrapText="1"/>
      <protection locked="0"/>
    </xf>
    <xf numFmtId="0" fontId="9" fillId="8" borderId="0" xfId="0" applyFont="1" applyFill="1" applyAlignment="1">
      <alignment horizontal="left" vertical="center" wrapText="1"/>
    </xf>
    <xf numFmtId="0" fontId="0" fillId="8" borderId="25" xfId="0" applyFill="1" applyBorder="1"/>
    <xf numFmtId="0" fontId="0" fillId="8" borderId="32" xfId="0" applyFill="1" applyBorder="1"/>
    <xf numFmtId="0" fontId="0" fillId="8" borderId="32" xfId="0" applyFill="1" applyBorder="1" applyAlignment="1" applyProtection="1">
      <alignment horizontal="left" vertical="top" wrapText="1"/>
      <protection locked="0"/>
    </xf>
    <xf numFmtId="0" fontId="4" fillId="2" borderId="42" xfId="0" applyFont="1" applyFill="1" applyBorder="1" applyAlignment="1" applyProtection="1">
      <alignment vertical="center"/>
      <protection hidden="1"/>
    </xf>
    <xf numFmtId="0" fontId="4" fillId="2" borderId="36" xfId="0" applyFont="1" applyFill="1" applyBorder="1" applyAlignment="1" applyProtection="1">
      <alignment vertical="center"/>
      <protection hidden="1"/>
    </xf>
    <xf numFmtId="0" fontId="1" fillId="10" borderId="47" xfId="0" applyFont="1" applyFill="1" applyBorder="1"/>
    <xf numFmtId="0" fontId="15" fillId="0" borderId="0" xfId="12"/>
    <xf numFmtId="0" fontId="4" fillId="0" borderId="0" xfId="12" applyFont="1"/>
    <xf numFmtId="0" fontId="0" fillId="0" borderId="0" xfId="12" applyFont="1"/>
    <xf numFmtId="0" fontId="0" fillId="11" borderId="46" xfId="12" applyFont="1" applyFill="1" applyBorder="1"/>
    <xf numFmtId="0" fontId="32" fillId="8" borderId="0" xfId="4" applyFont="1" applyFill="1"/>
    <xf numFmtId="0" fontId="9" fillId="0" borderId="0" xfId="0" applyFont="1"/>
    <xf numFmtId="0" fontId="6" fillId="0" borderId="0" xfId="0" applyFont="1"/>
    <xf numFmtId="0" fontId="4" fillId="6" borderId="0" xfId="0" applyFont="1" applyFill="1"/>
    <xf numFmtId="0" fontId="1" fillId="6" borderId="0" xfId="0" applyFont="1" applyFill="1" applyAlignment="1">
      <alignment horizontal="center" vertical="center" wrapText="1"/>
    </xf>
    <xf numFmtId="164" fontId="0" fillId="8" borderId="0" xfId="0" applyNumberFormat="1" applyFill="1"/>
    <xf numFmtId="9" fontId="0" fillId="8" borderId="0" xfId="3" applyFont="1" applyFill="1" applyBorder="1"/>
    <xf numFmtId="166" fontId="0" fillId="8" borderId="0" xfId="2" applyNumberFormat="1" applyFont="1" applyFill="1" applyBorder="1"/>
    <xf numFmtId="0" fontId="19" fillId="9" borderId="8" xfId="0" applyFont="1" applyFill="1" applyBorder="1" applyAlignment="1" applyProtection="1">
      <alignment horizontal="center"/>
      <protection hidden="1"/>
    </xf>
    <xf numFmtId="0" fontId="19" fillId="9" borderId="12" xfId="0" applyFont="1" applyFill="1" applyBorder="1" applyAlignment="1" applyProtection="1">
      <alignment horizontal="center"/>
      <protection hidden="1"/>
    </xf>
    <xf numFmtId="0" fontId="0" fillId="0" borderId="46" xfId="12" applyFont="1" applyBorder="1"/>
    <xf numFmtId="0" fontId="15" fillId="0" borderId="44" xfId="12" applyBorder="1"/>
    <xf numFmtId="0" fontId="15" fillId="3" borderId="44" xfId="12" applyFill="1" applyBorder="1"/>
    <xf numFmtId="0" fontId="0" fillId="3" borderId="46" xfId="12" applyFont="1" applyFill="1" applyBorder="1"/>
    <xf numFmtId="0" fontId="0" fillId="3" borderId="0" xfId="12" applyFont="1" applyFill="1"/>
    <xf numFmtId="0" fontId="9" fillId="8" borderId="0" xfId="0" applyFont="1" applyFill="1" applyAlignment="1">
      <alignment horizontal="left"/>
    </xf>
    <xf numFmtId="0" fontId="9" fillId="8" borderId="0" xfId="0" applyFont="1" applyFill="1" applyAlignment="1">
      <alignment vertical="top" wrapText="1"/>
    </xf>
    <xf numFmtId="0" fontId="12" fillId="8" borderId="0" xfId="0" applyFont="1" applyFill="1" applyAlignment="1">
      <alignment horizontal="left"/>
    </xf>
    <xf numFmtId="0" fontId="35" fillId="8" borderId="0" xfId="0" applyFont="1" applyFill="1"/>
    <xf numFmtId="0" fontId="0" fillId="8" borderId="9" xfId="0" applyFill="1" applyBorder="1"/>
    <xf numFmtId="0" fontId="0" fillId="0" borderId="9" xfId="0" applyBorder="1"/>
    <xf numFmtId="0" fontId="0" fillId="13" borderId="0" xfId="0" applyFill="1"/>
    <xf numFmtId="0" fontId="4" fillId="13" borderId="0" xfId="0" applyFont="1" applyFill="1"/>
    <xf numFmtId="0" fontId="37" fillId="14" borderId="24" xfId="0" applyFont="1" applyFill="1" applyBorder="1" applyAlignment="1">
      <alignment horizontal="center" wrapText="1"/>
    </xf>
    <xf numFmtId="0" fontId="38" fillId="14" borderId="24" xfId="0" applyFont="1" applyFill="1" applyBorder="1" applyAlignment="1">
      <alignment horizontal="center" wrapText="1"/>
    </xf>
    <xf numFmtId="0" fontId="39" fillId="0" borderId="24" xfId="0" applyFont="1" applyBorder="1"/>
    <xf numFmtId="0" fontId="0" fillId="0" borderId="9" xfId="0" applyBorder="1" applyAlignment="1">
      <alignment horizontal="right"/>
    </xf>
    <xf numFmtId="0" fontId="39" fillId="0" borderId="9" xfId="0" applyFont="1" applyBorder="1"/>
    <xf numFmtId="0" fontId="39" fillId="0" borderId="9" xfId="0" applyFont="1" applyBorder="1" applyAlignment="1">
      <alignment horizontal="left" wrapText="1"/>
    </xf>
    <xf numFmtId="0" fontId="39" fillId="0" borderId="8" xfId="0" applyFont="1" applyBorder="1"/>
    <xf numFmtId="0" fontId="38" fillId="14" borderId="0" xfId="0" applyFont="1" applyFill="1" applyAlignment="1">
      <alignment horizontal="center" wrapText="1"/>
    </xf>
    <xf numFmtId="0" fontId="36" fillId="8" borderId="0" xfId="0" applyFont="1" applyFill="1" applyAlignment="1">
      <alignment horizontal="center"/>
    </xf>
    <xf numFmtId="0" fontId="0" fillId="8" borderId="0" xfId="0" applyFill="1" applyAlignment="1" applyProtection="1">
      <alignment horizontal="left" vertical="top"/>
      <protection locked="0"/>
    </xf>
    <xf numFmtId="0" fontId="1" fillId="8" borderId="35" xfId="0" applyFont="1" applyFill="1" applyBorder="1" applyAlignment="1">
      <alignment horizontal="center" vertical="center" wrapText="1"/>
    </xf>
    <xf numFmtId="0" fontId="9" fillId="0" borderId="0" xfId="16" applyNumberFormat="1" applyFont="1" applyFill="1"/>
    <xf numFmtId="0" fontId="4" fillId="8" borderId="0" xfId="0" applyFont="1" applyFill="1" applyAlignment="1">
      <alignment wrapText="1"/>
    </xf>
    <xf numFmtId="2" fontId="0" fillId="0" borderId="24" xfId="0" applyNumberFormat="1" applyBorder="1"/>
    <xf numFmtId="0" fontId="19" fillId="9" borderId="28" xfId="0" applyFont="1" applyFill="1" applyBorder="1" applyAlignment="1" applyProtection="1">
      <alignment horizontal="center" vertical="center"/>
      <protection hidden="1"/>
    </xf>
    <xf numFmtId="0" fontId="19" fillId="9" borderId="15" xfId="0" applyFont="1" applyFill="1" applyBorder="1" applyAlignment="1" applyProtection="1">
      <alignment horizontal="center" vertical="center"/>
      <protection hidden="1"/>
    </xf>
    <xf numFmtId="0" fontId="0" fillId="0" borderId="0" xfId="0" applyAlignment="1">
      <alignment wrapText="1"/>
    </xf>
    <xf numFmtId="9" fontId="12" fillId="8" borderId="0" xfId="3" applyFont="1" applyFill="1" applyBorder="1"/>
    <xf numFmtId="0" fontId="0" fillId="13" borderId="0" xfId="0" applyFill="1" applyAlignment="1">
      <alignment wrapText="1"/>
    </xf>
    <xf numFmtId="0" fontId="1" fillId="13" borderId="0" xfId="0" applyFont="1" applyFill="1" applyAlignment="1">
      <alignment horizontal="center" vertical="center" wrapText="1"/>
    </xf>
    <xf numFmtId="0" fontId="0" fillId="13" borderId="0" xfId="0" applyFill="1" applyAlignment="1">
      <alignment horizontal="center"/>
    </xf>
    <xf numFmtId="1" fontId="0" fillId="6" borderId="0" xfId="0" applyNumberFormat="1" applyFill="1"/>
    <xf numFmtId="0" fontId="4" fillId="8" borderId="9" xfId="0" applyFont="1" applyFill="1" applyBorder="1"/>
    <xf numFmtId="0" fontId="34" fillId="8" borderId="9" xfId="0" applyFont="1" applyFill="1" applyBorder="1" applyAlignment="1">
      <alignment vertical="center"/>
    </xf>
    <xf numFmtId="0" fontId="14" fillId="8" borderId="9" xfId="0" applyFont="1" applyFill="1" applyBorder="1" applyAlignment="1">
      <alignment vertical="center"/>
    </xf>
    <xf numFmtId="1" fontId="0" fillId="8" borderId="9" xfId="0" applyNumberFormat="1" applyFill="1" applyBorder="1"/>
    <xf numFmtId="0" fontId="4" fillId="8" borderId="56" xfId="12" applyFont="1" applyFill="1" applyBorder="1"/>
    <xf numFmtId="0" fontId="0" fillId="8" borderId="9" xfId="12" applyFont="1" applyFill="1" applyBorder="1"/>
    <xf numFmtId="0" fontId="4" fillId="8" borderId="44" xfId="12" applyFont="1" applyFill="1" applyBorder="1"/>
    <xf numFmtId="0" fontId="0" fillId="8" borderId="44" xfId="12" applyFont="1" applyFill="1" applyBorder="1"/>
    <xf numFmtId="0" fontId="40" fillId="0" borderId="0" xfId="0" applyFont="1"/>
    <xf numFmtId="0" fontId="34" fillId="0" borderId="62" xfId="0" applyFont="1" applyBorder="1" applyAlignment="1">
      <alignment vertical="center"/>
    </xf>
    <xf numFmtId="0" fontId="14" fillId="8" borderId="0" xfId="0" applyFont="1" applyFill="1" applyAlignment="1">
      <alignment vertical="center"/>
    </xf>
    <xf numFmtId="1" fontId="0" fillId="8" borderId="0" xfId="0" applyNumberFormat="1" applyFill="1"/>
    <xf numFmtId="0" fontId="34" fillId="8" borderId="0" xfId="0" applyFont="1" applyFill="1" applyAlignment="1">
      <alignment vertical="center"/>
    </xf>
    <xf numFmtId="0" fontId="3" fillId="8" borderId="0" xfId="0" applyFont="1" applyFill="1" applyAlignment="1">
      <alignment horizontal="center" vertical="center"/>
    </xf>
    <xf numFmtId="0" fontId="0" fillId="0" borderId="0" xfId="0" applyAlignment="1">
      <alignment horizontal="center" vertical="center"/>
    </xf>
    <xf numFmtId="0" fontId="1" fillId="2" borderId="16" xfId="0" applyFont="1" applyFill="1" applyBorder="1" applyAlignment="1" applyProtection="1">
      <alignment horizontal="center" vertical="center" wrapText="1"/>
      <protection hidden="1"/>
    </xf>
    <xf numFmtId="0" fontId="1" fillId="2" borderId="32" xfId="0" applyFont="1" applyFill="1" applyBorder="1" applyAlignment="1" applyProtection="1">
      <alignment horizontal="center" vertical="center" wrapText="1"/>
      <protection hidden="1"/>
    </xf>
    <xf numFmtId="0" fontId="17" fillId="0" borderId="0" xfId="0" applyFont="1" applyAlignment="1" applyProtection="1">
      <alignment horizontal="left"/>
      <protection hidden="1"/>
    </xf>
    <xf numFmtId="0" fontId="17" fillId="8" borderId="0" xfId="0" applyFont="1" applyFill="1" applyAlignment="1" applyProtection="1">
      <alignment horizontal="left"/>
      <protection hidden="1"/>
    </xf>
    <xf numFmtId="0" fontId="3" fillId="8" borderId="0" xfId="0" applyFont="1" applyFill="1" applyAlignment="1" applyProtection="1">
      <alignment horizontal="center"/>
      <protection hidden="1"/>
    </xf>
    <xf numFmtId="0" fontId="16" fillId="8" borderId="0" xfId="4" applyFill="1" applyProtection="1">
      <protection hidden="1"/>
    </xf>
    <xf numFmtId="0" fontId="28" fillId="2" borderId="26" xfId="0" applyFont="1" applyFill="1" applyBorder="1" applyAlignment="1" applyProtection="1">
      <alignment horizontal="center" vertical="center" wrapText="1"/>
      <protection hidden="1"/>
    </xf>
    <xf numFmtId="0" fontId="19" fillId="5" borderId="11" xfId="0" applyFont="1" applyFill="1" applyBorder="1" applyAlignment="1" applyProtection="1">
      <alignment horizontal="center"/>
      <protection hidden="1"/>
    </xf>
    <xf numFmtId="0" fontId="1" fillId="8" borderId="0" xfId="0" applyFont="1" applyFill="1" applyAlignment="1" applyProtection="1">
      <alignment horizontal="center" vertical="center" wrapText="1"/>
      <protection hidden="1"/>
    </xf>
    <xf numFmtId="0" fontId="0" fillId="8" borderId="0" xfId="0" applyFill="1" applyProtection="1">
      <protection hidden="1"/>
    </xf>
    <xf numFmtId="0" fontId="0" fillId="0" borderId="0" xfId="0" applyProtection="1">
      <protection hidden="1"/>
    </xf>
    <xf numFmtId="0" fontId="28" fillId="2" borderId="30" xfId="0" applyFont="1" applyFill="1" applyBorder="1" applyAlignment="1" applyProtection="1">
      <alignment horizontal="center" vertical="center" wrapText="1"/>
      <protection hidden="1"/>
    </xf>
    <xf numFmtId="0" fontId="19" fillId="5" borderId="11" xfId="0" applyFont="1" applyFill="1" applyBorder="1" applyAlignment="1" applyProtection="1">
      <alignment horizontal="center" vertical="center"/>
      <protection hidden="1"/>
    </xf>
    <xf numFmtId="0" fontId="19" fillId="5" borderId="13" xfId="0" applyFont="1" applyFill="1" applyBorder="1" applyAlignment="1" applyProtection="1">
      <alignment horizontal="center" vertical="center"/>
      <protection hidden="1"/>
    </xf>
    <xf numFmtId="0" fontId="1" fillId="2" borderId="16" xfId="0" applyFont="1" applyFill="1" applyBorder="1" applyAlignment="1" applyProtection="1">
      <alignment vertical="center" wrapText="1"/>
      <protection hidden="1"/>
    </xf>
    <xf numFmtId="0" fontId="3" fillId="8" borderId="0" xfId="0" applyFont="1" applyFill="1" applyAlignment="1" applyProtection="1">
      <alignment horizontal="center" vertical="center"/>
      <protection hidden="1"/>
    </xf>
    <xf numFmtId="0" fontId="0" fillId="8" borderId="0" xfId="0" applyFill="1" applyAlignment="1" applyProtection="1">
      <alignment horizontal="center" vertical="center"/>
      <protection hidden="1"/>
    </xf>
    <xf numFmtId="0" fontId="12" fillId="8" borderId="0" xfId="0" applyFont="1" applyFill="1" applyAlignment="1" applyProtection="1">
      <alignment horizontal="center" vertical="center"/>
      <protection hidden="1"/>
    </xf>
    <xf numFmtId="0" fontId="36" fillId="8" borderId="0" xfId="0" applyFont="1" applyFill="1" applyAlignment="1" applyProtection="1">
      <alignment horizontal="center" vertical="center"/>
      <protection hidden="1"/>
    </xf>
    <xf numFmtId="2" fontId="0" fillId="8" borderId="32" xfId="0" applyNumberFormat="1" applyFill="1" applyBorder="1" applyAlignment="1" applyProtection="1">
      <alignment horizontal="center" vertical="center"/>
      <protection hidden="1"/>
    </xf>
    <xf numFmtId="2" fontId="0" fillId="8" borderId="0" xfId="0" applyNumberFormat="1" applyFill="1" applyAlignment="1" applyProtection="1">
      <alignment horizontal="center" vertical="center"/>
      <protection hidden="1"/>
    </xf>
    <xf numFmtId="0" fontId="7" fillId="8" borderId="0" xfId="1" applyFill="1" applyBorder="1" applyAlignment="1" applyProtection="1">
      <alignment horizontal="center" vertical="center"/>
      <protection hidden="1"/>
    </xf>
    <xf numFmtId="0" fontId="1" fillId="8" borderId="35" xfId="0" applyFont="1" applyFill="1" applyBorder="1" applyAlignment="1" applyProtection="1">
      <alignment horizontal="center" vertical="center" wrapText="1"/>
      <protection hidden="1"/>
    </xf>
    <xf numFmtId="164" fontId="0" fillId="8" borderId="0" xfId="0" applyNumberFormat="1" applyFill="1" applyAlignment="1" applyProtection="1">
      <alignment horizontal="center" vertical="center"/>
      <protection hidden="1"/>
    </xf>
    <xf numFmtId="0" fontId="0" fillId="0" borderId="0" xfId="0" applyAlignment="1" applyProtection="1">
      <alignment horizontal="center" vertical="center"/>
      <protection hidden="1"/>
    </xf>
    <xf numFmtId="0" fontId="0" fillId="8" borderId="0" xfId="0" applyFill="1" applyAlignment="1" applyProtection="1">
      <alignment vertical="top" wrapText="1"/>
      <protection hidden="1"/>
    </xf>
    <xf numFmtId="0" fontId="7" fillId="8" borderId="32" xfId="1" applyFill="1" applyBorder="1" applyAlignment="1" applyProtection="1">
      <alignment horizontal="center" vertical="center" wrapText="1"/>
      <protection hidden="1"/>
    </xf>
    <xf numFmtId="0" fontId="7" fillId="8" borderId="0" xfId="1" applyFill="1" applyBorder="1" applyAlignment="1" applyProtection="1">
      <alignment horizontal="center" vertical="center" wrapText="1"/>
      <protection hidden="1"/>
    </xf>
    <xf numFmtId="0" fontId="0" fillId="8" borderId="32" xfId="0" applyFill="1" applyBorder="1" applyProtection="1">
      <protection hidden="1"/>
    </xf>
    <xf numFmtId="0" fontId="28" fillId="2" borderId="26" xfId="0" applyFont="1" applyFill="1" applyBorder="1" applyAlignment="1" applyProtection="1">
      <alignment horizontal="center" vertical="center"/>
      <protection hidden="1"/>
    </xf>
    <xf numFmtId="0" fontId="19" fillId="5" borderId="11" xfId="0" applyFont="1" applyFill="1" applyBorder="1" applyAlignment="1" applyProtection="1">
      <alignment horizontal="center" vertical="center" wrapText="1"/>
      <protection hidden="1"/>
    </xf>
    <xf numFmtId="0" fontId="19" fillId="5" borderId="33" xfId="0" applyFont="1" applyFill="1" applyBorder="1" applyAlignment="1" applyProtection="1">
      <alignment horizontal="center" vertical="center" wrapText="1"/>
      <protection hidden="1"/>
    </xf>
    <xf numFmtId="0" fontId="3" fillId="8" borderId="0" xfId="0" applyFont="1" applyFill="1" applyAlignment="1" applyProtection="1">
      <alignment horizontal="left"/>
      <protection hidden="1"/>
    </xf>
    <xf numFmtId="0" fontId="19" fillId="3" borderId="23" xfId="0" applyFont="1" applyFill="1" applyBorder="1" applyAlignment="1" applyProtection="1">
      <alignment horizontal="center" vertical="center" wrapText="1"/>
      <protection hidden="1"/>
    </xf>
    <xf numFmtId="0" fontId="0" fillId="8" borderId="0" xfId="0" applyFill="1" applyAlignment="1" applyProtection="1">
      <alignment wrapText="1"/>
      <protection hidden="1"/>
    </xf>
    <xf numFmtId="0" fontId="19" fillId="5" borderId="1" xfId="0" applyFont="1" applyFill="1" applyBorder="1" applyAlignment="1" applyProtection="1">
      <alignment horizontal="center"/>
      <protection hidden="1"/>
    </xf>
    <xf numFmtId="0" fontId="19" fillId="5" borderId="34" xfId="0" applyFont="1" applyFill="1" applyBorder="1" applyAlignment="1" applyProtection="1">
      <alignment horizontal="center" vertical="center" wrapText="1"/>
      <protection hidden="1"/>
    </xf>
    <xf numFmtId="0" fontId="2" fillId="4" borderId="26" xfId="0" applyFont="1" applyFill="1" applyBorder="1" applyProtection="1">
      <protection hidden="1"/>
    </xf>
    <xf numFmtId="0" fontId="2" fillId="4" borderId="65" xfId="0" applyFont="1" applyFill="1" applyBorder="1" applyProtection="1">
      <protection hidden="1"/>
    </xf>
    <xf numFmtId="0" fontId="2" fillId="4" borderId="27" xfId="0" applyFont="1" applyFill="1" applyBorder="1" applyProtection="1">
      <protection hidden="1"/>
    </xf>
    <xf numFmtId="0" fontId="42" fillId="3" borderId="11" xfId="0" applyFont="1" applyFill="1" applyBorder="1" applyProtection="1">
      <protection hidden="1"/>
    </xf>
    <xf numFmtId="0" fontId="42" fillId="3" borderId="1" xfId="0" applyFont="1" applyFill="1" applyBorder="1" applyProtection="1">
      <protection hidden="1"/>
    </xf>
    <xf numFmtId="0" fontId="43" fillId="3" borderId="1" xfId="1" applyFont="1" applyFill="1" applyBorder="1" applyAlignment="1" applyProtection="1">
      <alignment horizontal="left"/>
      <protection hidden="1"/>
    </xf>
    <xf numFmtId="0" fontId="42" fillId="3" borderId="28" xfId="0" applyFont="1" applyFill="1" applyBorder="1" applyAlignment="1" applyProtection="1">
      <alignment horizontal="left"/>
      <protection hidden="1"/>
    </xf>
    <xf numFmtId="0" fontId="42" fillId="3" borderId="13" xfId="0" applyFont="1" applyFill="1" applyBorder="1" applyProtection="1">
      <protection hidden="1"/>
    </xf>
    <xf numFmtId="0" fontId="42" fillId="3" borderId="14" xfId="0" applyFont="1" applyFill="1" applyBorder="1" applyProtection="1">
      <protection hidden="1"/>
    </xf>
    <xf numFmtId="0" fontId="43" fillId="3" borderId="14" xfId="1" applyFont="1" applyFill="1" applyBorder="1" applyAlignment="1" applyProtection="1">
      <alignment horizontal="left"/>
      <protection hidden="1"/>
    </xf>
    <xf numFmtId="0" fontId="42" fillId="3" borderId="15" xfId="0" applyFont="1" applyFill="1" applyBorder="1" applyAlignment="1" applyProtection="1">
      <alignment horizontal="left"/>
      <protection hidden="1"/>
    </xf>
    <xf numFmtId="0" fontId="0" fillId="12" borderId="31" xfId="0" applyFill="1" applyBorder="1" applyProtection="1">
      <protection hidden="1"/>
    </xf>
    <xf numFmtId="0" fontId="12" fillId="11" borderId="45" xfId="12" applyFont="1" applyFill="1" applyBorder="1"/>
    <xf numFmtId="0" fontId="12" fillId="11" borderId="44" xfId="12" applyFont="1" applyFill="1" applyBorder="1"/>
    <xf numFmtId="0" fontId="12" fillId="11" borderId="46" xfId="12" applyFont="1" applyFill="1" applyBorder="1"/>
    <xf numFmtId="0" fontId="12" fillId="0" borderId="45" xfId="12" applyFont="1" applyBorder="1"/>
    <xf numFmtId="0" fontId="12" fillId="0" borderId="46" xfId="12" applyFont="1" applyBorder="1"/>
    <xf numFmtId="0" fontId="6" fillId="0" borderId="44" xfId="12" applyFont="1" applyBorder="1"/>
    <xf numFmtId="0" fontId="12" fillId="13" borderId="0" xfId="0" applyFont="1" applyFill="1"/>
    <xf numFmtId="0" fontId="1" fillId="10" borderId="48" xfId="0" applyFont="1" applyFill="1" applyBorder="1"/>
    <xf numFmtId="0" fontId="1" fillId="10" borderId="49" xfId="0" applyFont="1" applyFill="1" applyBorder="1"/>
    <xf numFmtId="0" fontId="55" fillId="8" borderId="9" xfId="0" applyFont="1" applyFill="1" applyBorder="1" applyAlignment="1">
      <alignment vertical="center"/>
    </xf>
    <xf numFmtId="0" fontId="12" fillId="8" borderId="9" xfId="0" applyFont="1" applyFill="1" applyBorder="1"/>
    <xf numFmtId="0" fontId="35" fillId="8" borderId="56" xfId="12" applyFont="1" applyFill="1" applyBorder="1"/>
    <xf numFmtId="0" fontId="35" fillId="8" borderId="9" xfId="0" applyFont="1" applyFill="1" applyBorder="1"/>
    <xf numFmtId="0" fontId="0" fillId="12" borderId="32" xfId="0" applyFill="1" applyBorder="1" applyAlignment="1" applyProtection="1">
      <alignment horizontal="left" vertical="center"/>
      <protection hidden="1"/>
    </xf>
    <xf numFmtId="0" fontId="0" fillId="12" borderId="16" xfId="0" applyFill="1" applyBorder="1" applyAlignment="1" applyProtection="1">
      <alignment horizontal="left" vertical="center"/>
      <protection hidden="1"/>
    </xf>
    <xf numFmtId="0" fontId="0" fillId="0" borderId="9"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1" fillId="2" borderId="31" xfId="0" applyFont="1" applyFill="1" applyBorder="1" applyAlignment="1" applyProtection="1">
      <alignment horizontal="center" vertical="center" wrapText="1"/>
      <protection hidden="1"/>
    </xf>
    <xf numFmtId="0" fontId="19" fillId="9" borderId="29" xfId="0" applyFont="1" applyFill="1" applyBorder="1" applyAlignment="1" applyProtection="1">
      <alignment horizontal="center" vertical="center"/>
      <protection hidden="1"/>
    </xf>
    <xf numFmtId="0" fontId="19" fillId="7" borderId="4" xfId="0" applyFont="1" applyFill="1" applyBorder="1" applyAlignment="1" applyProtection="1">
      <alignment vertical="center" wrapText="1"/>
      <protection hidden="1"/>
    </xf>
    <xf numFmtId="0" fontId="19" fillId="7" borderId="14" xfId="0" applyFont="1" applyFill="1" applyBorder="1" applyAlignment="1" applyProtection="1">
      <alignment horizontal="left" vertical="center" wrapText="1"/>
      <protection hidden="1"/>
    </xf>
    <xf numFmtId="0" fontId="28" fillId="2" borderId="64" xfId="0" applyFont="1" applyFill="1" applyBorder="1" applyAlignment="1" applyProtection="1">
      <alignment horizontal="center" vertical="center" wrapText="1"/>
      <protection hidden="1"/>
    </xf>
    <xf numFmtId="0" fontId="19" fillId="3" borderId="11" xfId="0" applyFont="1" applyFill="1" applyBorder="1" applyAlignment="1" applyProtection="1">
      <alignment horizontal="center" vertical="center" wrapText="1"/>
      <protection hidden="1"/>
    </xf>
    <xf numFmtId="0" fontId="2" fillId="8" borderId="0" xfId="0" applyFont="1" applyFill="1"/>
    <xf numFmtId="0" fontId="2" fillId="0" borderId="0" xfId="0" applyFont="1"/>
    <xf numFmtId="0" fontId="7" fillId="8" borderId="0" xfId="1" applyFill="1" applyBorder="1" applyProtection="1">
      <protection hidden="1"/>
    </xf>
    <xf numFmtId="0" fontId="2" fillId="8" borderId="0" xfId="0" applyFont="1" applyFill="1" applyProtection="1">
      <protection hidden="1"/>
    </xf>
    <xf numFmtId="0" fontId="0" fillId="8" borderId="0" xfId="0" applyFill="1" applyAlignment="1" applyProtection="1">
      <alignment vertical="top"/>
      <protection hidden="1"/>
    </xf>
    <xf numFmtId="0" fontId="51" fillId="8" borderId="0" xfId="0" applyFont="1" applyFill="1" applyProtection="1">
      <protection hidden="1"/>
    </xf>
    <xf numFmtId="0" fontId="9" fillId="8" borderId="0" xfId="0" applyFont="1" applyFill="1" applyAlignment="1" applyProtection="1">
      <alignment vertical="top" wrapText="1"/>
      <protection hidden="1"/>
    </xf>
    <xf numFmtId="0" fontId="0" fillId="8" borderId="0" xfId="0" applyFill="1" applyAlignment="1" applyProtection="1">
      <alignment horizontal="left" vertical="top" wrapText="1"/>
      <protection hidden="1"/>
    </xf>
    <xf numFmtId="0" fontId="0" fillId="8" borderId="39" xfId="0" applyFill="1" applyBorder="1" applyProtection="1">
      <protection hidden="1"/>
    </xf>
    <xf numFmtId="0" fontId="11" fillId="8" borderId="0" xfId="0" applyFont="1" applyFill="1" applyProtection="1">
      <protection hidden="1"/>
    </xf>
    <xf numFmtId="0" fontId="1" fillId="8" borderId="0" xfId="0" applyFont="1" applyFill="1" applyAlignment="1" applyProtection="1">
      <alignment vertical="center"/>
      <protection hidden="1"/>
    </xf>
    <xf numFmtId="0" fontId="1" fillId="8" borderId="0" xfId="0" applyFont="1" applyFill="1" applyAlignment="1" applyProtection="1">
      <alignment horizontal="center"/>
      <protection hidden="1"/>
    </xf>
    <xf numFmtId="0" fontId="0" fillId="8" borderId="32" xfId="0" applyFill="1" applyBorder="1" applyAlignment="1" applyProtection="1">
      <alignment vertical="top" wrapText="1"/>
      <protection hidden="1"/>
    </xf>
    <xf numFmtId="0" fontId="9" fillId="0" borderId="0" xfId="0" applyFont="1" applyProtection="1">
      <protection hidden="1"/>
    </xf>
    <xf numFmtId="0" fontId="9" fillId="0" borderId="0" xfId="0" applyFont="1" applyAlignment="1" applyProtection="1">
      <alignment horizontal="center" vertical="center"/>
      <protection hidden="1"/>
    </xf>
    <xf numFmtId="0" fontId="9" fillId="0" borderId="0" xfId="16" applyNumberFormat="1" applyFont="1" applyFill="1" applyProtection="1">
      <protection hidden="1"/>
    </xf>
    <xf numFmtId="0" fontId="9" fillId="0" borderId="0" xfId="16" applyNumberFormat="1" applyFont="1" applyFill="1" applyAlignment="1" applyProtection="1">
      <alignment horizontal="center" vertical="center"/>
      <protection hidden="1"/>
    </xf>
    <xf numFmtId="0" fontId="26" fillId="8" borderId="0" xfId="0" applyFont="1" applyFill="1" applyAlignment="1" applyProtection="1">
      <alignment horizontal="center"/>
      <protection hidden="1"/>
    </xf>
    <xf numFmtId="0" fontId="3" fillId="8" borderId="32" xfId="0" applyFont="1" applyFill="1" applyBorder="1" applyAlignment="1" applyProtection="1">
      <alignment horizontal="center"/>
      <protection hidden="1"/>
    </xf>
    <xf numFmtId="0" fontId="41" fillId="8" borderId="0" xfId="0" applyFont="1" applyFill="1" applyProtection="1">
      <protection hidden="1"/>
    </xf>
    <xf numFmtId="0" fontId="4" fillId="8" borderId="0" xfId="0" applyFont="1" applyFill="1" applyProtection="1">
      <protection hidden="1"/>
    </xf>
    <xf numFmtId="0" fontId="12" fillId="8" borderId="0" xfId="0" applyFont="1" applyFill="1" applyProtection="1">
      <protection hidden="1"/>
    </xf>
    <xf numFmtId="0" fontId="4" fillId="8" borderId="0" xfId="0" applyFont="1" applyFill="1" applyAlignment="1" applyProtection="1">
      <alignment wrapText="1"/>
      <protection hidden="1"/>
    </xf>
    <xf numFmtId="0" fontId="56" fillId="8" borderId="9" xfId="0" applyFont="1" applyFill="1" applyBorder="1" applyAlignment="1">
      <alignment vertical="center"/>
    </xf>
    <xf numFmtId="0" fontId="57" fillId="8" borderId="9" xfId="0" applyFont="1" applyFill="1" applyBorder="1"/>
    <xf numFmtId="0" fontId="58" fillId="8" borderId="9" xfId="0" applyFont="1" applyFill="1" applyBorder="1"/>
    <xf numFmtId="0" fontId="0" fillId="0" borderId="0" xfId="0" applyAlignment="1" applyProtection="1">
      <alignment horizontal="left" vertical="center"/>
      <protection locked="0"/>
    </xf>
    <xf numFmtId="0" fontId="0" fillId="0" borderId="39" xfId="0" applyBorder="1" applyAlignment="1" applyProtection="1">
      <alignment horizontal="left" vertical="center"/>
      <protection locked="0"/>
    </xf>
    <xf numFmtId="0" fontId="0" fillId="0" borderId="69" xfId="0" applyBorder="1" applyAlignment="1" applyProtection="1">
      <alignment horizontal="left" vertical="center"/>
      <protection locked="0"/>
    </xf>
    <xf numFmtId="165" fontId="0" fillId="0" borderId="0" xfId="3" applyNumberFormat="1" applyFont="1"/>
    <xf numFmtId="10" fontId="0" fillId="0" borderId="0" xfId="3" applyNumberFormat="1" applyFont="1"/>
    <xf numFmtId="0" fontId="9" fillId="13" borderId="0" xfId="0" applyFont="1" applyFill="1"/>
    <xf numFmtId="0" fontId="6" fillId="13" borderId="0" xfId="0" applyFont="1" applyFill="1" applyAlignment="1">
      <alignment horizontal="center" vertical="center" wrapText="1"/>
    </xf>
    <xf numFmtId="0" fontId="60" fillId="0" borderId="62" xfId="0" applyFont="1" applyBorder="1" applyAlignment="1">
      <alignment vertical="center"/>
    </xf>
    <xf numFmtId="0" fontId="9" fillId="8" borderId="0" xfId="0" applyFont="1" applyFill="1" applyAlignment="1">
      <alignment horizontal="center"/>
    </xf>
    <xf numFmtId="0" fontId="9" fillId="13" borderId="0" xfId="0" applyFont="1" applyFill="1" applyAlignment="1">
      <alignment horizontal="center"/>
    </xf>
    <xf numFmtId="0" fontId="6" fillId="8" borderId="0" xfId="0" applyFont="1" applyFill="1" applyAlignment="1">
      <alignment horizontal="center" vertical="center" wrapText="1"/>
    </xf>
    <xf numFmtId="0" fontId="9" fillId="8" borderId="0" xfId="0" applyFont="1" applyFill="1" applyAlignment="1">
      <alignment wrapText="1"/>
    </xf>
    <xf numFmtId="0" fontId="9" fillId="9" borderId="0" xfId="0" applyFont="1" applyFill="1" applyAlignment="1">
      <alignment wrapText="1"/>
    </xf>
    <xf numFmtId="0" fontId="58" fillId="0" borderId="0" xfId="0" applyFont="1"/>
    <xf numFmtId="0" fontId="56" fillId="0" borderId="62" xfId="0" applyFont="1" applyBorder="1" applyAlignment="1">
      <alignment vertical="center"/>
    </xf>
    <xf numFmtId="0" fontId="59" fillId="8" borderId="0" xfId="0" applyFont="1" applyFill="1" applyAlignment="1">
      <alignment wrapText="1"/>
    </xf>
    <xf numFmtId="0" fontId="19" fillId="7" borderId="1" xfId="0" applyFont="1" applyFill="1" applyBorder="1" applyAlignment="1" applyProtection="1">
      <alignment horizontal="left" vertical="center" wrapText="1"/>
      <protection hidden="1"/>
    </xf>
    <xf numFmtId="0" fontId="61" fillId="8" borderId="62" xfId="0" applyFont="1" applyFill="1" applyBorder="1" applyAlignment="1">
      <alignment vertical="center" wrapText="1"/>
    </xf>
    <xf numFmtId="0" fontId="58" fillId="0" borderId="0" xfId="12" applyFont="1"/>
    <xf numFmtId="0" fontId="12" fillId="11" borderId="0" xfId="12" applyFont="1" applyFill="1"/>
    <xf numFmtId="0" fontId="58" fillId="11" borderId="0" xfId="12" applyFont="1" applyFill="1"/>
    <xf numFmtId="0" fontId="58" fillId="0" borderId="45" xfId="12" applyFont="1" applyBorder="1"/>
    <xf numFmtId="0" fontId="58" fillId="3" borderId="45" xfId="12" applyFont="1" applyFill="1" applyBorder="1"/>
    <xf numFmtId="0" fontId="59" fillId="0" borderId="0" xfId="0" applyFont="1"/>
    <xf numFmtId="0" fontId="60" fillId="0" borderId="62" xfId="0" applyFont="1" applyBorder="1" applyAlignment="1">
      <alignment vertical="center" wrapText="1"/>
    </xf>
    <xf numFmtId="0" fontId="9" fillId="8" borderId="0" xfId="0" applyFont="1" applyFill="1" applyProtection="1">
      <protection hidden="1"/>
    </xf>
    <xf numFmtId="0" fontId="9" fillId="8" borderId="0" xfId="0" applyFont="1" applyFill="1" applyAlignment="1" applyProtection="1">
      <alignment horizontal="center" vertical="center"/>
      <protection hidden="1"/>
    </xf>
    <xf numFmtId="0" fontId="59" fillId="0" borderId="0" xfId="0" applyFont="1" applyProtection="1">
      <protection hidden="1"/>
    </xf>
    <xf numFmtId="0" fontId="59" fillId="0" borderId="0" xfId="16" applyNumberFormat="1" applyFont="1" applyFill="1" applyProtection="1">
      <protection hidden="1"/>
    </xf>
    <xf numFmtId="0" fontId="9" fillId="0" borderId="0" xfId="0" applyFont="1" applyAlignment="1">
      <alignment wrapText="1"/>
    </xf>
    <xf numFmtId="0" fontId="62" fillId="8" borderId="0" xfId="0" applyFont="1" applyFill="1" applyAlignment="1">
      <alignment horizontal="center"/>
    </xf>
    <xf numFmtId="0" fontId="59" fillId="8" borderId="25" xfId="0" applyFont="1" applyFill="1" applyBorder="1"/>
    <xf numFmtId="0" fontId="59" fillId="8" borderId="0" xfId="0" applyFont="1" applyFill="1"/>
    <xf numFmtId="0" fontId="59" fillId="0" borderId="0" xfId="0" applyFont="1" applyAlignment="1">
      <alignment vertical="center"/>
    </xf>
    <xf numFmtId="0" fontId="61" fillId="0" borderId="62" xfId="0" applyFont="1" applyBorder="1" applyAlignment="1">
      <alignment vertical="center"/>
    </xf>
    <xf numFmtId="0" fontId="19" fillId="5" borderId="10" xfId="0" applyFont="1" applyFill="1" applyBorder="1" applyAlignment="1" applyProtection="1">
      <alignment horizontal="center"/>
      <protection hidden="1"/>
    </xf>
    <xf numFmtId="0" fontId="0" fillId="13" borderId="0" xfId="0" applyFill="1" applyAlignment="1" applyProtection="1">
      <alignment horizontal="center" vertical="center"/>
      <protection hidden="1"/>
    </xf>
    <xf numFmtId="0" fontId="0" fillId="0" borderId="0" xfId="3" applyNumberFormat="1" applyFont="1"/>
    <xf numFmtId="0" fontId="26" fillId="2" borderId="31" xfId="0" applyFont="1" applyFill="1" applyBorder="1" applyAlignment="1" applyProtection="1">
      <alignment horizontal="center" vertical="center" wrapText="1"/>
      <protection hidden="1"/>
    </xf>
    <xf numFmtId="0" fontId="26" fillId="2" borderId="0" xfId="0" applyFont="1" applyFill="1" applyAlignment="1" applyProtection="1">
      <alignment horizontal="center" vertical="center" wrapText="1"/>
      <protection hidden="1"/>
    </xf>
    <xf numFmtId="0" fontId="19" fillId="5" borderId="11" xfId="0" applyFont="1" applyFill="1" applyBorder="1" applyAlignment="1" applyProtection="1">
      <alignment vertical="center" wrapText="1"/>
      <protection hidden="1"/>
    </xf>
    <xf numFmtId="0" fontId="19" fillId="3" borderId="1" xfId="0" applyFont="1" applyFill="1" applyBorder="1" applyAlignment="1" applyProtection="1">
      <alignment horizontal="center" vertical="center" wrapText="1"/>
      <protection locked="0"/>
    </xf>
    <xf numFmtId="0" fontId="65" fillId="5" borderId="28" xfId="0" applyFont="1" applyFill="1" applyBorder="1" applyAlignment="1" applyProtection="1">
      <alignment horizontal="center" vertical="center" wrapText="1"/>
      <protection hidden="1"/>
    </xf>
    <xf numFmtId="10" fontId="19" fillId="3" borderId="1" xfId="0" applyNumberFormat="1" applyFont="1" applyFill="1" applyBorder="1" applyAlignment="1" applyProtection="1">
      <alignment horizontal="center" vertical="center" wrapText="1"/>
      <protection locked="0"/>
    </xf>
    <xf numFmtId="0" fontId="65" fillId="3" borderId="1" xfId="0" applyFont="1" applyFill="1" applyBorder="1" applyAlignment="1" applyProtection="1">
      <alignment horizontal="center" vertical="center" wrapText="1"/>
      <protection locked="0"/>
    </xf>
    <xf numFmtId="166" fontId="65" fillId="3" borderId="1" xfId="2" applyNumberFormat="1"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wrapText="1"/>
      <protection hidden="1"/>
    </xf>
    <xf numFmtId="0" fontId="65" fillId="5" borderId="1" xfId="3" applyNumberFormat="1" applyFont="1" applyFill="1" applyBorder="1" applyAlignment="1" applyProtection="1">
      <alignment horizontal="center" vertical="center" wrapText="1"/>
      <protection hidden="1"/>
    </xf>
    <xf numFmtId="0" fontId="19" fillId="12" borderId="11" xfId="0" applyFont="1" applyFill="1" applyBorder="1" applyAlignment="1" applyProtection="1">
      <alignment vertical="center" wrapText="1"/>
      <protection hidden="1"/>
    </xf>
    <xf numFmtId="0" fontId="65" fillId="12" borderId="28" xfId="0" applyFont="1" applyFill="1" applyBorder="1" applyAlignment="1" applyProtection="1">
      <alignment horizontal="center" vertical="center" wrapText="1"/>
      <protection hidden="1"/>
    </xf>
    <xf numFmtId="4" fontId="65" fillId="3" borderId="1" xfId="0" applyNumberFormat="1" applyFont="1" applyFill="1" applyBorder="1" applyAlignment="1" applyProtection="1">
      <alignment horizontal="center" vertical="center" wrapText="1"/>
      <protection locked="0"/>
    </xf>
    <xf numFmtId="0" fontId="67" fillId="5" borderId="28" xfId="1" applyFont="1" applyFill="1" applyBorder="1" applyAlignment="1" applyProtection="1">
      <alignment horizontal="center" vertical="center" wrapText="1"/>
      <protection hidden="1"/>
    </xf>
    <xf numFmtId="0" fontId="19" fillId="5" borderId="13" xfId="0" applyFont="1" applyFill="1" applyBorder="1" applyAlignment="1" applyProtection="1">
      <alignment vertical="center" wrapText="1"/>
      <protection hidden="1"/>
    </xf>
    <xf numFmtId="0" fontId="19" fillId="5" borderId="14" xfId="0" applyFont="1" applyFill="1" applyBorder="1" applyAlignment="1" applyProtection="1">
      <alignment horizontal="center" vertical="center" wrapText="1"/>
      <protection hidden="1"/>
    </xf>
    <xf numFmtId="4" fontId="65" fillId="3" borderId="36" xfId="0" applyNumberFormat="1" applyFont="1" applyFill="1" applyBorder="1" applyAlignment="1" applyProtection="1">
      <alignment horizontal="center" vertical="center" wrapText="1"/>
      <protection locked="0"/>
    </xf>
    <xf numFmtId="0" fontId="65" fillId="5" borderId="15" xfId="0" applyFont="1" applyFill="1" applyBorder="1" applyAlignment="1" applyProtection="1">
      <alignment horizontal="center" vertical="center" wrapText="1"/>
      <protection hidden="1"/>
    </xf>
    <xf numFmtId="0" fontId="26" fillId="2" borderId="32" xfId="0" applyFont="1" applyFill="1" applyBorder="1" applyAlignment="1" applyProtection="1">
      <alignment horizontal="center" vertical="center" wrapText="1"/>
      <protection hidden="1"/>
    </xf>
    <xf numFmtId="0" fontId="26" fillId="2" borderId="16" xfId="0" applyFont="1" applyFill="1" applyBorder="1" applyAlignment="1" applyProtection="1">
      <alignment vertical="center" wrapText="1"/>
      <protection hidden="1"/>
    </xf>
    <xf numFmtId="0" fontId="26" fillId="2" borderId="11" xfId="0" applyFont="1" applyFill="1" applyBorder="1" applyAlignment="1" applyProtection="1">
      <alignment horizontal="center" vertical="center" wrapText="1"/>
      <protection hidden="1"/>
    </xf>
    <xf numFmtId="0" fontId="65" fillId="5" borderId="1" xfId="0" applyFont="1" applyFill="1" applyBorder="1" applyAlignment="1" applyProtection="1">
      <alignment horizontal="center" vertical="center"/>
      <protection hidden="1"/>
    </xf>
    <xf numFmtId="0" fontId="65" fillId="5" borderId="28" xfId="0" applyFont="1" applyFill="1" applyBorder="1" applyAlignment="1" applyProtection="1">
      <alignment horizontal="center" vertical="center"/>
      <protection hidden="1"/>
    </xf>
    <xf numFmtId="0" fontId="65" fillId="5" borderId="4" xfId="0" applyFont="1" applyFill="1" applyBorder="1" applyAlignment="1" applyProtection="1">
      <alignment horizontal="center" vertical="center"/>
      <protection hidden="1"/>
    </xf>
    <xf numFmtId="0" fontId="65" fillId="5" borderId="12" xfId="0" applyFont="1" applyFill="1" applyBorder="1" applyAlignment="1" applyProtection="1">
      <alignment horizontal="center" vertical="center"/>
      <protection hidden="1"/>
    </xf>
    <xf numFmtId="0" fontId="26" fillId="2" borderId="13" xfId="0" applyFont="1" applyFill="1" applyBorder="1" applyAlignment="1" applyProtection="1">
      <alignment horizontal="center" vertical="center" wrapText="1"/>
      <protection hidden="1"/>
    </xf>
    <xf numFmtId="0" fontId="65" fillId="5" borderId="15" xfId="0" applyFont="1" applyFill="1" applyBorder="1" applyAlignment="1" applyProtection="1">
      <alignment horizontal="center" vertical="center"/>
      <protection hidden="1"/>
    </xf>
    <xf numFmtId="0" fontId="65" fillId="3" borderId="1" xfId="0" applyFont="1" applyFill="1" applyBorder="1" applyAlignment="1" applyProtection="1">
      <alignment horizontal="left" vertical="top" wrapText="1"/>
      <protection locked="0"/>
    </xf>
    <xf numFmtId="0" fontId="65" fillId="5" borderId="14" xfId="0" applyFont="1" applyFill="1" applyBorder="1" applyAlignment="1" applyProtection="1">
      <alignment horizontal="center" vertical="center"/>
      <protection hidden="1"/>
    </xf>
    <xf numFmtId="0" fontId="65" fillId="5" borderId="42" xfId="0" applyFont="1" applyFill="1" applyBorder="1" applyAlignment="1" applyProtection="1">
      <alignment horizontal="center" vertical="center"/>
      <protection hidden="1"/>
    </xf>
    <xf numFmtId="0" fontId="65" fillId="5" borderId="52" xfId="0" applyFont="1" applyFill="1" applyBorder="1" applyAlignment="1" applyProtection="1">
      <alignment horizontal="center" vertical="center"/>
      <protection hidden="1"/>
    </xf>
    <xf numFmtId="0" fontId="65" fillId="5" borderId="6" xfId="0" applyFont="1" applyFill="1" applyBorder="1" applyAlignment="1" applyProtection="1">
      <alignment horizontal="center" vertical="center"/>
      <protection hidden="1"/>
    </xf>
    <xf numFmtId="0" fontId="65" fillId="3" borderId="14" xfId="0" applyFont="1" applyFill="1" applyBorder="1" applyAlignment="1" applyProtection="1">
      <alignment horizontal="left" vertical="top" wrapText="1"/>
      <protection locked="0"/>
    </xf>
    <xf numFmtId="0" fontId="65" fillId="5" borderId="36" xfId="0" applyFont="1" applyFill="1" applyBorder="1" applyAlignment="1" applyProtection="1">
      <alignment horizontal="center" vertical="center"/>
      <protection hidden="1"/>
    </xf>
    <xf numFmtId="0" fontId="26" fillId="2" borderId="1" xfId="0" applyFont="1" applyFill="1" applyBorder="1" applyAlignment="1" applyProtection="1">
      <alignment horizontal="center" vertical="center" wrapText="1"/>
      <protection hidden="1"/>
    </xf>
    <xf numFmtId="164" fontId="65" fillId="5" borderId="1" xfId="0" applyNumberFormat="1" applyFont="1" applyFill="1" applyBorder="1" applyAlignment="1" applyProtection="1">
      <alignment horizontal="center" vertical="center"/>
      <protection hidden="1"/>
    </xf>
    <xf numFmtId="0" fontId="19" fillId="7" borderId="1" xfId="0" applyFont="1" applyFill="1" applyBorder="1" applyAlignment="1" applyProtection="1">
      <alignment vertical="center" wrapText="1"/>
      <protection hidden="1"/>
    </xf>
    <xf numFmtId="0" fontId="65" fillId="3" borderId="1" xfId="0" applyFont="1" applyFill="1" applyBorder="1" applyAlignment="1" applyProtection="1">
      <alignment horizontal="left" vertical="center" wrapText="1"/>
      <protection locked="0"/>
    </xf>
    <xf numFmtId="0" fontId="19" fillId="3" borderId="14" xfId="0" applyFont="1" applyFill="1" applyBorder="1" applyAlignment="1" applyProtection="1">
      <alignment horizontal="left" vertical="center" wrapText="1"/>
      <protection locked="0"/>
    </xf>
    <xf numFmtId="0" fontId="65" fillId="3" borderId="4" xfId="0" applyFont="1" applyFill="1" applyBorder="1" applyAlignment="1" applyProtection="1">
      <alignment horizontal="center" vertical="center" wrapText="1"/>
      <protection locked="0"/>
    </xf>
    <xf numFmtId="2" fontId="19" fillId="5" borderId="14" xfId="3" applyNumberFormat="1" applyFont="1" applyFill="1" applyBorder="1" applyAlignment="1" applyProtection="1">
      <alignment horizontal="center" vertical="center" wrapText="1"/>
      <protection hidden="1"/>
    </xf>
    <xf numFmtId="0" fontId="19" fillId="7" borderId="14" xfId="0" applyFont="1" applyFill="1" applyBorder="1" applyAlignment="1" applyProtection="1">
      <alignment vertical="center" wrapText="1"/>
      <protection hidden="1"/>
    </xf>
    <xf numFmtId="0" fontId="19" fillId="7" borderId="4" xfId="0" applyFont="1" applyFill="1" applyBorder="1" applyAlignment="1" applyProtection="1">
      <alignment horizontal="left" vertical="center" wrapText="1"/>
      <protection hidden="1"/>
    </xf>
    <xf numFmtId="0" fontId="19" fillId="7" borderId="0" xfId="0" applyFont="1" applyFill="1" applyAlignment="1" applyProtection="1">
      <alignment vertical="center" wrapText="1"/>
      <protection hidden="1"/>
    </xf>
    <xf numFmtId="0" fontId="19" fillId="7" borderId="6" xfId="0" applyFont="1" applyFill="1" applyBorder="1" applyAlignment="1" applyProtection="1">
      <alignment vertical="center" wrapText="1"/>
      <protection hidden="1"/>
    </xf>
    <xf numFmtId="0" fontId="19" fillId="7" borderId="35" xfId="0" applyFont="1" applyFill="1" applyBorder="1" applyAlignment="1" applyProtection="1">
      <alignment vertical="center" wrapText="1"/>
      <protection hidden="1"/>
    </xf>
    <xf numFmtId="165" fontId="19" fillId="5" borderId="14" xfId="3" applyNumberFormat="1" applyFont="1" applyFill="1" applyBorder="1" applyAlignment="1" applyProtection="1">
      <alignment horizontal="center" vertical="center" wrapText="1"/>
      <protection hidden="1"/>
    </xf>
    <xf numFmtId="10" fontId="19" fillId="5" borderId="1" xfId="3" applyNumberFormat="1" applyFont="1" applyFill="1" applyBorder="1" applyAlignment="1" applyProtection="1">
      <alignment horizontal="center" vertical="center" wrapText="1"/>
      <protection hidden="1"/>
    </xf>
    <xf numFmtId="0" fontId="65" fillId="3" borderId="14" xfId="0" applyFont="1" applyFill="1" applyBorder="1" applyAlignment="1" applyProtection="1">
      <alignment horizontal="center" vertical="center" wrapText="1"/>
      <protection locked="0"/>
    </xf>
    <xf numFmtId="0" fontId="65" fillId="3" borderId="7" xfId="0" applyFont="1" applyFill="1" applyBorder="1" applyAlignment="1" applyProtection="1">
      <alignment horizontal="center" vertical="center" wrapText="1"/>
      <protection locked="0"/>
    </xf>
    <xf numFmtId="10" fontId="19" fillId="3" borderId="1" xfId="3" applyNumberFormat="1" applyFont="1" applyFill="1" applyBorder="1" applyAlignment="1" applyProtection="1">
      <alignment horizontal="center" vertical="center" wrapText="1"/>
      <protection locked="0"/>
    </xf>
    <xf numFmtId="10" fontId="19" fillId="3" borderId="14" xfId="3" applyNumberFormat="1" applyFont="1" applyFill="1" applyBorder="1" applyAlignment="1" applyProtection="1">
      <alignment horizontal="center" vertical="center" wrapText="1"/>
      <protection locked="0"/>
    </xf>
    <xf numFmtId="0" fontId="65" fillId="8" borderId="0" xfId="0" applyFont="1" applyFill="1" applyAlignment="1">
      <alignment horizontal="center" vertical="center"/>
    </xf>
    <xf numFmtId="0" fontId="65" fillId="8" borderId="0" xfId="0" applyFont="1" applyFill="1" applyAlignment="1" applyProtection="1">
      <alignment horizontal="center" vertical="center"/>
      <protection hidden="1"/>
    </xf>
    <xf numFmtId="164" fontId="65" fillId="5" borderId="20" xfId="0" applyNumberFormat="1" applyFont="1" applyFill="1" applyBorder="1" applyAlignment="1" applyProtection="1">
      <alignment horizontal="center" vertical="center"/>
      <protection hidden="1"/>
    </xf>
    <xf numFmtId="0" fontId="26" fillId="2" borderId="18" xfId="0" applyFont="1" applyFill="1" applyBorder="1" applyAlignment="1" applyProtection="1">
      <alignment horizontal="center" vertical="center" wrapText="1"/>
      <protection hidden="1"/>
    </xf>
    <xf numFmtId="0" fontId="19" fillId="3" borderId="11" xfId="0" applyFont="1" applyFill="1" applyBorder="1" applyAlignment="1" applyProtection="1">
      <alignment horizontal="center" vertical="center"/>
      <protection hidden="1"/>
    </xf>
    <xf numFmtId="0" fontId="19" fillId="3" borderId="6" xfId="0" applyFont="1" applyFill="1" applyBorder="1" applyAlignment="1" applyProtection="1">
      <alignment horizontal="left" vertical="center" wrapText="1"/>
      <protection locked="0"/>
    </xf>
    <xf numFmtId="0" fontId="65" fillId="5" borderId="12" xfId="0" applyFont="1" applyFill="1" applyBorder="1" applyAlignment="1" applyProtection="1">
      <alignment horizontal="center" vertical="center" wrapText="1"/>
      <protection hidden="1"/>
    </xf>
    <xf numFmtId="0" fontId="19" fillId="3" borderId="4"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protection locked="0"/>
    </xf>
    <xf numFmtId="0" fontId="65" fillId="5" borderId="38" xfId="0" applyFont="1" applyFill="1" applyBorder="1" applyAlignment="1" applyProtection="1">
      <alignment horizontal="center" vertical="center" wrapText="1"/>
      <protection hidden="1"/>
    </xf>
    <xf numFmtId="0" fontId="19" fillId="5" borderId="28" xfId="1" applyFont="1" applyFill="1" applyBorder="1" applyAlignment="1" applyProtection="1">
      <alignment horizontal="center" vertical="center" wrapText="1"/>
      <protection hidden="1"/>
    </xf>
    <xf numFmtId="0" fontId="26" fillId="2" borderId="54" xfId="0" applyFont="1" applyFill="1" applyBorder="1" applyAlignment="1" applyProtection="1">
      <alignment horizontal="center" vertical="center" wrapText="1"/>
      <protection hidden="1"/>
    </xf>
    <xf numFmtId="0" fontId="65" fillId="5" borderId="29" xfId="0" applyFont="1" applyFill="1" applyBorder="1" applyAlignment="1" applyProtection="1">
      <alignment horizontal="center" vertical="center"/>
      <protection hidden="1"/>
    </xf>
    <xf numFmtId="0" fontId="19" fillId="5" borderId="29" xfId="1" applyFont="1" applyFill="1" applyBorder="1" applyAlignment="1" applyProtection="1">
      <alignment horizontal="center" vertical="center" wrapText="1"/>
      <protection hidden="1"/>
    </xf>
    <xf numFmtId="0" fontId="19" fillId="5" borderId="28" xfId="0" applyFont="1" applyFill="1" applyBorder="1" applyAlignment="1" applyProtection="1">
      <alignment horizontal="center" vertical="center"/>
      <protection hidden="1"/>
    </xf>
    <xf numFmtId="0" fontId="19" fillId="5" borderId="38" xfId="0" applyFont="1" applyFill="1" applyBorder="1" applyAlignment="1" applyProtection="1">
      <alignment horizontal="center" vertical="center"/>
      <protection hidden="1"/>
    </xf>
    <xf numFmtId="0" fontId="19" fillId="5" borderId="12" xfId="0" applyFont="1" applyFill="1" applyBorder="1" applyAlignment="1" applyProtection="1">
      <alignment horizontal="center" vertical="center"/>
      <protection hidden="1"/>
    </xf>
    <xf numFmtId="0" fontId="26" fillId="2" borderId="24" xfId="0" applyFont="1" applyFill="1" applyBorder="1" applyAlignment="1" applyProtection="1">
      <alignment horizontal="center" vertical="center" wrapText="1"/>
      <protection hidden="1"/>
    </xf>
    <xf numFmtId="0" fontId="26" fillId="2" borderId="10" xfId="0" applyFont="1" applyFill="1" applyBorder="1" applyAlignment="1" applyProtection="1">
      <alignment horizontal="center" vertical="center" wrapText="1"/>
      <protection hidden="1"/>
    </xf>
    <xf numFmtId="0" fontId="26" fillId="2" borderId="9" xfId="0" applyFont="1" applyFill="1" applyBorder="1" applyAlignment="1" applyProtection="1">
      <alignment horizontal="center" vertical="center" wrapText="1"/>
      <protection hidden="1"/>
    </xf>
    <xf numFmtId="0" fontId="26" fillId="2" borderId="14" xfId="0" applyFont="1" applyFill="1" applyBorder="1" applyAlignment="1" applyProtection="1">
      <alignment horizontal="center" vertical="center" wrapText="1"/>
      <protection hidden="1"/>
    </xf>
    <xf numFmtId="0" fontId="19" fillId="5" borderId="69" xfId="0" applyFont="1" applyFill="1" applyBorder="1" applyAlignment="1" applyProtection="1">
      <alignment horizontal="center" vertical="center"/>
      <protection hidden="1"/>
    </xf>
    <xf numFmtId="0" fontId="19" fillId="5" borderId="12" xfId="1" applyFont="1" applyFill="1" applyBorder="1" applyAlignment="1" applyProtection="1">
      <alignment horizontal="center" vertical="center" wrapText="1"/>
      <protection hidden="1"/>
    </xf>
    <xf numFmtId="0" fontId="26" fillId="2" borderId="16" xfId="0" applyFont="1" applyFill="1" applyBorder="1" applyAlignment="1" applyProtection="1">
      <alignment horizontal="center" vertical="center" wrapText="1"/>
      <protection hidden="1"/>
    </xf>
    <xf numFmtId="0" fontId="19" fillId="7" borderId="10" xfId="0" applyFont="1" applyFill="1" applyBorder="1" applyAlignment="1" applyProtection="1">
      <alignment horizontal="left" vertical="center" wrapText="1"/>
      <protection hidden="1"/>
    </xf>
    <xf numFmtId="0" fontId="19" fillId="7" borderId="6" xfId="0" applyFont="1" applyFill="1" applyBorder="1" applyAlignment="1" applyProtection="1">
      <alignment horizontal="left" vertical="center" wrapText="1"/>
      <protection hidden="1"/>
    </xf>
    <xf numFmtId="0" fontId="19" fillId="7" borderId="0" xfId="0" applyFont="1" applyFill="1" applyAlignment="1" applyProtection="1">
      <alignment horizontal="left" vertical="center" wrapText="1"/>
      <protection hidden="1"/>
    </xf>
    <xf numFmtId="0" fontId="19" fillId="7" borderId="7" xfId="0" applyFont="1" applyFill="1" applyBorder="1" applyAlignment="1" applyProtection="1">
      <alignment horizontal="left" vertical="center" wrapText="1"/>
      <protection hidden="1"/>
    </xf>
    <xf numFmtId="0" fontId="65" fillId="3" borderId="4" xfId="0" applyFont="1" applyFill="1" applyBorder="1" applyAlignment="1" applyProtection="1">
      <alignment horizontal="left" vertical="center" wrapText="1"/>
      <protection locked="0"/>
    </xf>
    <xf numFmtId="0" fontId="65" fillId="3" borderId="14" xfId="0" applyFont="1" applyFill="1" applyBorder="1" applyAlignment="1" applyProtection="1">
      <alignment horizontal="left" vertical="center" wrapText="1"/>
      <protection locked="0"/>
    </xf>
    <xf numFmtId="0" fontId="65" fillId="3" borderId="1" xfId="0" applyFont="1" applyFill="1" applyBorder="1" applyAlignment="1" applyProtection="1">
      <alignment horizontal="left" vertical="center"/>
      <protection locked="0"/>
    </xf>
    <xf numFmtId="0" fontId="65" fillId="3" borderId="6" xfId="0" applyFont="1" applyFill="1" applyBorder="1" applyAlignment="1" applyProtection="1">
      <alignment horizontal="left" vertical="center" wrapText="1"/>
      <protection locked="0"/>
    </xf>
    <xf numFmtId="0" fontId="65" fillId="3" borderId="6" xfId="0" applyFont="1" applyFill="1" applyBorder="1" applyAlignment="1" applyProtection="1">
      <alignment horizontal="left" vertical="center"/>
      <protection locked="0"/>
    </xf>
    <xf numFmtId="10" fontId="65" fillId="3" borderId="6" xfId="0" applyNumberFormat="1" applyFont="1" applyFill="1" applyBorder="1" applyAlignment="1" applyProtection="1">
      <alignment horizontal="left" vertical="center" wrapText="1"/>
      <protection hidden="1"/>
    </xf>
    <xf numFmtId="10" fontId="65" fillId="3" borderId="1" xfId="0" applyNumberFormat="1" applyFont="1" applyFill="1" applyBorder="1" applyAlignment="1" applyProtection="1">
      <alignment horizontal="left" vertical="center" wrapText="1"/>
      <protection hidden="1"/>
    </xf>
    <xf numFmtId="49" fontId="65" fillId="3" borderId="1" xfId="0" applyNumberFormat="1" applyFont="1" applyFill="1" applyBorder="1" applyAlignment="1" applyProtection="1">
      <alignment horizontal="left" vertical="center" wrapText="1"/>
      <protection locked="0"/>
    </xf>
    <xf numFmtId="0" fontId="65" fillId="3" borderId="9" xfId="0" applyFont="1" applyFill="1" applyBorder="1" applyAlignment="1" applyProtection="1">
      <alignment horizontal="left" vertical="center" wrapText="1"/>
      <protection locked="0"/>
    </xf>
    <xf numFmtId="0" fontId="65" fillId="3" borderId="40" xfId="0" applyFont="1" applyFill="1" applyBorder="1" applyAlignment="1" applyProtection="1">
      <alignment horizontal="left" vertical="center" wrapText="1"/>
      <protection locked="0"/>
    </xf>
    <xf numFmtId="2" fontId="65" fillId="3" borderId="1" xfId="0" applyNumberFormat="1" applyFont="1" applyFill="1" applyBorder="1" applyAlignment="1" applyProtection="1">
      <alignment horizontal="left" vertical="center" wrapText="1"/>
      <protection locked="0"/>
    </xf>
    <xf numFmtId="2" fontId="65" fillId="3" borderId="4" xfId="0" applyNumberFormat="1" applyFont="1" applyFill="1" applyBorder="1" applyAlignment="1" applyProtection="1">
      <alignment horizontal="left" vertical="center" wrapText="1"/>
      <protection locked="0"/>
    </xf>
    <xf numFmtId="2" fontId="65" fillId="3" borderId="14" xfId="0" applyNumberFormat="1" applyFont="1" applyFill="1" applyBorder="1" applyAlignment="1" applyProtection="1">
      <alignment horizontal="left" vertical="center" wrapText="1"/>
      <protection locked="0"/>
    </xf>
    <xf numFmtId="167" fontId="19" fillId="3" borderId="1" xfId="0" applyNumberFormat="1" applyFont="1" applyFill="1" applyBorder="1" applyAlignment="1" applyProtection="1">
      <alignment horizontal="left" vertical="center" wrapText="1"/>
      <protection locked="0"/>
    </xf>
    <xf numFmtId="10" fontId="19" fillId="3" borderId="1" xfId="0" applyNumberFormat="1" applyFont="1" applyFill="1" applyBorder="1" applyAlignment="1" applyProtection="1">
      <alignment horizontal="left" vertical="center" wrapText="1"/>
      <protection locked="0"/>
    </xf>
    <xf numFmtId="1" fontId="19" fillId="3" borderId="1" xfId="0" applyNumberFormat="1" applyFont="1" applyFill="1" applyBorder="1" applyAlignment="1" applyProtection="1">
      <alignment horizontal="left" vertical="center" wrapText="1"/>
      <protection locked="0"/>
    </xf>
    <xf numFmtId="0" fontId="69" fillId="5" borderId="12" xfId="1" applyFont="1" applyFill="1" applyBorder="1" applyAlignment="1" applyProtection="1">
      <alignment horizontal="center" vertical="center" wrapText="1"/>
      <protection hidden="1"/>
    </xf>
    <xf numFmtId="41" fontId="19" fillId="3" borderId="14" xfId="2" applyNumberFormat="1" applyFont="1" applyFill="1" applyBorder="1" applyAlignment="1" applyProtection="1">
      <alignment horizontal="left" vertical="center" wrapText="1"/>
      <protection locked="0"/>
    </xf>
    <xf numFmtId="0" fontId="67" fillId="5" borderId="12" xfId="1" applyFont="1" applyFill="1" applyBorder="1" applyAlignment="1" applyProtection="1">
      <alignment horizontal="center" vertical="center"/>
      <protection hidden="1"/>
    </xf>
    <xf numFmtId="0" fontId="67" fillId="5" borderId="15" xfId="1" applyFont="1" applyFill="1" applyBorder="1" applyAlignment="1" applyProtection="1">
      <alignment horizontal="center" vertical="center" wrapText="1"/>
      <protection hidden="1"/>
    </xf>
    <xf numFmtId="0" fontId="67" fillId="5" borderId="15" xfId="1" applyFont="1" applyFill="1" applyBorder="1" applyAlignment="1" applyProtection="1">
      <alignment horizontal="center" vertical="center"/>
      <protection hidden="1"/>
    </xf>
    <xf numFmtId="0" fontId="67" fillId="5" borderId="12" xfId="1" applyFont="1" applyFill="1" applyBorder="1" applyAlignment="1" applyProtection="1">
      <alignment horizontal="center" vertical="center" wrapText="1"/>
      <protection hidden="1"/>
    </xf>
    <xf numFmtId="0" fontId="19" fillId="5" borderId="1" xfId="0" applyFont="1" applyFill="1" applyBorder="1" applyAlignment="1" applyProtection="1">
      <alignment horizontal="center" vertical="center"/>
      <protection hidden="1"/>
    </xf>
    <xf numFmtId="0" fontId="19" fillId="5" borderId="15" xfId="0" applyFont="1" applyFill="1" applyBorder="1" applyAlignment="1" applyProtection="1">
      <alignment horizontal="center" vertical="center"/>
      <protection hidden="1"/>
    </xf>
    <xf numFmtId="0" fontId="65" fillId="7" borderId="1" xfId="0" applyFont="1" applyFill="1" applyBorder="1" applyAlignment="1" applyProtection="1">
      <alignment horizontal="left" vertical="center" wrapText="1"/>
      <protection hidden="1"/>
    </xf>
    <xf numFmtId="10" fontId="65" fillId="5" borderId="1" xfId="0" applyNumberFormat="1" applyFont="1" applyFill="1" applyBorder="1" applyAlignment="1" applyProtection="1">
      <alignment horizontal="left" vertical="center" wrapText="1"/>
      <protection hidden="1"/>
    </xf>
    <xf numFmtId="10" fontId="65" fillId="5" borderId="14" xfId="0" applyNumberFormat="1" applyFont="1" applyFill="1" applyBorder="1" applyAlignment="1" applyProtection="1">
      <alignment horizontal="left" vertical="center" wrapText="1"/>
      <protection locked="0"/>
    </xf>
    <xf numFmtId="0" fontId="65" fillId="7" borderId="14" xfId="0" applyFont="1" applyFill="1" applyBorder="1" applyAlignment="1" applyProtection="1">
      <alignment horizontal="left" vertical="center" wrapText="1"/>
      <protection hidden="1"/>
    </xf>
    <xf numFmtId="2" fontId="65" fillId="5" borderId="1" xfId="0" applyNumberFormat="1" applyFont="1" applyFill="1" applyBorder="1" applyAlignment="1" applyProtection="1">
      <alignment horizontal="left" vertical="center" wrapText="1"/>
      <protection hidden="1"/>
    </xf>
    <xf numFmtId="0" fontId="65" fillId="3" borderId="36" xfId="0" applyFont="1" applyFill="1" applyBorder="1" applyAlignment="1" applyProtection="1">
      <alignment horizontal="left" vertical="center" wrapText="1"/>
      <protection locked="0"/>
    </xf>
    <xf numFmtId="0" fontId="7" fillId="8" borderId="0" xfId="1" applyFill="1" applyAlignment="1" applyProtection="1">
      <alignment horizontal="center" vertical="center"/>
      <protection hidden="1"/>
    </xf>
    <xf numFmtId="0" fontId="0" fillId="8" borderId="32" xfId="0" applyFill="1" applyBorder="1" applyAlignment="1" applyProtection="1">
      <alignment horizontal="center" vertical="center"/>
      <protection hidden="1"/>
    </xf>
    <xf numFmtId="0" fontId="65" fillId="3" borderId="1" xfId="2" applyNumberFormat="1" applyFont="1" applyFill="1" applyBorder="1" applyAlignment="1" applyProtection="1">
      <alignment horizontal="left" vertical="center"/>
      <protection locked="0"/>
    </xf>
    <xf numFmtId="0" fontId="19" fillId="5" borderId="28" xfId="1" applyFont="1" applyFill="1" applyBorder="1" applyAlignment="1" applyProtection="1">
      <alignment horizontal="center" vertical="center"/>
      <protection hidden="1"/>
    </xf>
    <xf numFmtId="0" fontId="19" fillId="5" borderId="37" xfId="1" applyFont="1" applyFill="1" applyBorder="1" applyAlignment="1" applyProtection="1">
      <alignment horizontal="center" vertical="center"/>
      <protection hidden="1"/>
    </xf>
    <xf numFmtId="164" fontId="65" fillId="5" borderId="4" xfId="0" applyNumberFormat="1" applyFont="1" applyFill="1" applyBorder="1" applyAlignment="1" applyProtection="1">
      <alignment horizontal="center" vertical="center"/>
      <protection hidden="1"/>
    </xf>
    <xf numFmtId="0" fontId="19" fillId="7" borderId="36" xfId="0" applyFont="1" applyFill="1" applyBorder="1" applyAlignment="1" applyProtection="1">
      <alignment horizontal="left" vertical="center" wrapText="1"/>
      <protection hidden="1"/>
    </xf>
    <xf numFmtId="164" fontId="65" fillId="5" borderId="36" xfId="0" applyNumberFormat="1" applyFont="1" applyFill="1" applyBorder="1" applyAlignment="1" applyProtection="1">
      <alignment horizontal="center" vertical="center"/>
      <protection hidden="1"/>
    </xf>
    <xf numFmtId="0" fontId="65" fillId="5" borderId="37"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19" fillId="3" borderId="10" xfId="0" applyFont="1" applyFill="1" applyBorder="1" applyAlignment="1" applyProtection="1">
      <alignment horizontal="left" vertical="center" wrapText="1"/>
      <protection locked="0"/>
    </xf>
    <xf numFmtId="0" fontId="65" fillId="3" borderId="10" xfId="2" applyNumberFormat="1" applyFont="1" applyFill="1" applyBorder="1" applyAlignment="1" applyProtection="1">
      <alignment horizontal="left" vertical="center"/>
      <protection locked="0"/>
    </xf>
    <xf numFmtId="10" fontId="65" fillId="5" borderId="1" xfId="3" applyNumberFormat="1" applyFont="1" applyFill="1" applyBorder="1" applyAlignment="1" applyProtection="1">
      <alignment horizontal="left" vertical="center" wrapText="1"/>
      <protection hidden="1"/>
    </xf>
    <xf numFmtId="0" fontId="70" fillId="3" borderId="4" xfId="0" applyFont="1" applyFill="1" applyBorder="1" applyAlignment="1" applyProtection="1">
      <alignment horizontal="left" vertical="center" wrapText="1"/>
      <protection locked="0"/>
    </xf>
    <xf numFmtId="0" fontId="12" fillId="13" borderId="0" xfId="0" applyFont="1" applyFill="1" applyAlignment="1" applyProtection="1">
      <alignment horizontal="center" vertical="center"/>
      <protection hidden="1"/>
    </xf>
    <xf numFmtId="0" fontId="65" fillId="5" borderId="59" xfId="0" applyFont="1" applyFill="1" applyBorder="1" applyAlignment="1" applyProtection="1">
      <alignment horizontal="center" vertical="center" wrapText="1"/>
      <protection hidden="1"/>
    </xf>
    <xf numFmtId="0" fontId="65" fillId="5" borderId="37" xfId="0" applyFont="1" applyFill="1" applyBorder="1" applyAlignment="1" applyProtection="1">
      <alignment horizontal="center" vertical="center" wrapText="1"/>
      <protection hidden="1"/>
    </xf>
    <xf numFmtId="0" fontId="26" fillId="2" borderId="58" xfId="0" applyFont="1" applyFill="1" applyBorder="1" applyAlignment="1" applyProtection="1">
      <alignment horizontal="center" vertical="center" wrapText="1"/>
      <protection hidden="1"/>
    </xf>
    <xf numFmtId="0" fontId="19" fillId="5" borderId="6" xfId="0" applyFont="1" applyFill="1" applyBorder="1" applyAlignment="1" applyProtection="1">
      <alignment horizontal="center" vertical="center" wrapText="1"/>
      <protection hidden="1"/>
    </xf>
    <xf numFmtId="0" fontId="19" fillId="5" borderId="42" xfId="0" applyFont="1" applyFill="1" applyBorder="1" applyAlignment="1" applyProtection="1">
      <alignment horizontal="center" vertical="center" wrapText="1"/>
      <protection hidden="1"/>
    </xf>
    <xf numFmtId="9" fontId="65" fillId="3" borderId="1" xfId="3" applyFont="1" applyFill="1" applyBorder="1" applyAlignment="1" applyProtection="1">
      <alignment horizontal="left" vertical="center" wrapText="1"/>
      <protection locked="0"/>
    </xf>
    <xf numFmtId="166" fontId="65" fillId="3" borderId="1" xfId="2" applyNumberFormat="1" applyFont="1" applyFill="1" applyBorder="1" applyAlignment="1" applyProtection="1">
      <alignment horizontal="left" vertical="center" wrapText="1"/>
      <protection locked="0"/>
    </xf>
    <xf numFmtId="4" fontId="65" fillId="3" borderId="4" xfId="0" applyNumberFormat="1" applyFont="1" applyFill="1" applyBorder="1" applyAlignment="1" applyProtection="1">
      <alignment horizontal="left" vertical="center" wrapText="1"/>
      <protection locked="0"/>
    </xf>
    <xf numFmtId="4" fontId="65" fillId="3" borderId="1" xfId="0" applyNumberFormat="1" applyFont="1" applyFill="1" applyBorder="1" applyAlignment="1" applyProtection="1">
      <alignment horizontal="left" vertical="center" wrapText="1"/>
      <protection locked="0"/>
    </xf>
    <xf numFmtId="4" fontId="65" fillId="3" borderId="36" xfId="0" applyNumberFormat="1" applyFont="1" applyFill="1" applyBorder="1" applyAlignment="1" applyProtection="1">
      <alignment horizontal="left" vertical="center" wrapText="1"/>
      <protection locked="0"/>
    </xf>
    <xf numFmtId="0" fontId="19" fillId="5" borderId="33" xfId="0" applyFont="1" applyFill="1" applyBorder="1" applyAlignment="1" applyProtection="1">
      <alignment horizontal="left" vertical="center" wrapText="1"/>
      <protection hidden="1"/>
    </xf>
    <xf numFmtId="0" fontId="19" fillId="5" borderId="13" xfId="0" applyFont="1" applyFill="1" applyBorder="1" applyAlignment="1" applyProtection="1">
      <alignment horizontal="left" vertical="center" wrapText="1"/>
      <protection hidden="1"/>
    </xf>
    <xf numFmtId="10" fontId="65" fillId="5" borderId="14" xfId="3" applyNumberFormat="1" applyFont="1" applyFill="1" applyBorder="1" applyAlignment="1" applyProtection="1">
      <alignment horizontal="left" vertical="center" wrapText="1"/>
      <protection hidden="1"/>
    </xf>
    <xf numFmtId="10" fontId="19" fillId="5" borderId="14" xfId="3" applyNumberFormat="1" applyFont="1" applyFill="1" applyBorder="1" applyAlignment="1" applyProtection="1">
      <alignment horizontal="left" vertical="center" wrapText="1"/>
      <protection hidden="1"/>
    </xf>
    <xf numFmtId="0" fontId="26" fillId="4" borderId="11" xfId="0" applyFont="1" applyFill="1" applyBorder="1" applyProtection="1">
      <protection hidden="1"/>
    </xf>
    <xf numFmtId="0" fontId="26" fillId="4" borderId="1" xfId="0" applyFont="1" applyFill="1" applyBorder="1" applyAlignment="1" applyProtection="1">
      <alignment horizontal="center"/>
      <protection hidden="1"/>
    </xf>
    <xf numFmtId="0" fontId="65" fillId="8" borderId="0" xfId="0" applyFont="1" applyFill="1" applyProtection="1">
      <protection hidden="1"/>
    </xf>
    <xf numFmtId="0" fontId="65" fillId="0" borderId="0" xfId="0" applyFont="1" applyProtection="1">
      <protection hidden="1"/>
    </xf>
    <xf numFmtId="0" fontId="65" fillId="8" borderId="0" xfId="0" applyFont="1" applyFill="1" applyAlignment="1" applyProtection="1">
      <alignment horizontal="center"/>
      <protection hidden="1"/>
    </xf>
    <xf numFmtId="0" fontId="71" fillId="3" borderId="33" xfId="0" applyFont="1" applyFill="1" applyBorder="1" applyAlignment="1" applyProtection="1">
      <alignment vertical="center"/>
      <protection hidden="1"/>
    </xf>
    <xf numFmtId="0" fontId="71" fillId="3" borderId="4" xfId="0" applyFont="1" applyFill="1" applyBorder="1" applyAlignment="1" applyProtection="1">
      <alignment horizontal="center" vertical="center"/>
      <protection hidden="1"/>
    </xf>
    <xf numFmtId="0" fontId="71" fillId="3" borderId="12" xfId="0" applyFont="1" applyFill="1" applyBorder="1" applyAlignment="1" applyProtection="1">
      <alignment horizontal="center" vertical="center"/>
      <protection hidden="1"/>
    </xf>
    <xf numFmtId="1" fontId="19" fillId="3" borderId="1" xfId="0" applyNumberFormat="1" applyFont="1" applyFill="1" applyBorder="1" applyAlignment="1" applyProtection="1">
      <alignment horizontal="center" vertical="center"/>
      <protection hidden="1"/>
    </xf>
    <xf numFmtId="164" fontId="19" fillId="3" borderId="1" xfId="0" applyNumberFormat="1" applyFont="1" applyFill="1" applyBorder="1" applyAlignment="1" applyProtection="1">
      <alignment horizontal="center" vertical="center"/>
      <protection hidden="1"/>
    </xf>
    <xf numFmtId="168" fontId="65" fillId="3" borderId="12" xfId="0" applyNumberFormat="1" applyFont="1" applyFill="1" applyBorder="1" applyAlignment="1" applyProtection="1">
      <alignment horizontal="center" vertical="center"/>
      <protection hidden="1"/>
    </xf>
    <xf numFmtId="164" fontId="19" fillId="3" borderId="14" xfId="0" applyNumberFormat="1" applyFont="1" applyFill="1" applyBorder="1" applyAlignment="1" applyProtection="1">
      <alignment horizontal="center" vertical="center"/>
      <protection hidden="1"/>
    </xf>
    <xf numFmtId="168" fontId="65" fillId="3" borderId="15" xfId="0" applyNumberFormat="1" applyFont="1" applyFill="1" applyBorder="1" applyAlignment="1" applyProtection="1">
      <alignment horizontal="center" vertical="center"/>
      <protection hidden="1"/>
    </xf>
    <xf numFmtId="168" fontId="19" fillId="3" borderId="4" xfId="0" applyNumberFormat="1" applyFont="1" applyFill="1" applyBorder="1" applyAlignment="1" applyProtection="1">
      <alignment horizontal="center" vertical="center"/>
      <protection hidden="1"/>
    </xf>
    <xf numFmtId="164" fontId="19" fillId="3" borderId="4" xfId="0" applyNumberFormat="1" applyFont="1" applyFill="1" applyBorder="1" applyAlignment="1" applyProtection="1">
      <alignment horizontal="center" vertical="center" wrapText="1"/>
      <protection hidden="1"/>
    </xf>
    <xf numFmtId="164" fontId="19" fillId="3" borderId="61" xfId="0" applyNumberFormat="1" applyFont="1" applyFill="1" applyBorder="1" applyAlignment="1" applyProtection="1">
      <alignment horizontal="center" vertical="center" wrapText="1"/>
      <protection hidden="1"/>
    </xf>
    <xf numFmtId="168" fontId="19" fillId="3" borderId="1" xfId="0" applyNumberFormat="1" applyFont="1" applyFill="1" applyBorder="1" applyAlignment="1" applyProtection="1">
      <alignment horizontal="center" vertical="center"/>
      <protection hidden="1"/>
    </xf>
    <xf numFmtId="0" fontId="19" fillId="3" borderId="1" xfId="0" applyFont="1" applyFill="1" applyBorder="1" applyAlignment="1" applyProtection="1">
      <alignment horizontal="center" vertical="center"/>
      <protection hidden="1"/>
    </xf>
    <xf numFmtId="164" fontId="19" fillId="3" borderId="52" xfId="0" applyNumberFormat="1" applyFont="1" applyFill="1" applyBorder="1" applyAlignment="1" applyProtection="1">
      <alignment horizontal="center" vertical="center"/>
      <protection hidden="1"/>
    </xf>
    <xf numFmtId="0" fontId="19" fillId="3" borderId="28" xfId="0" applyFont="1" applyFill="1" applyBorder="1" applyAlignment="1" applyProtection="1">
      <alignment horizontal="center" vertical="center"/>
      <protection hidden="1"/>
    </xf>
    <xf numFmtId="0" fontId="19" fillId="3" borderId="28" xfId="2" applyNumberFormat="1" applyFont="1" applyFill="1" applyBorder="1" applyAlignment="1" applyProtection="1">
      <alignment horizontal="center" vertical="center"/>
      <protection hidden="1"/>
    </xf>
    <xf numFmtId="0" fontId="19" fillId="3" borderId="4" xfId="0" applyFont="1" applyFill="1" applyBorder="1" applyAlignment="1" applyProtection="1">
      <alignment horizontal="center" vertical="center"/>
      <protection hidden="1"/>
    </xf>
    <xf numFmtId="0" fontId="19" fillId="3" borderId="12" xfId="2" applyNumberFormat="1" applyFont="1" applyFill="1" applyBorder="1" applyAlignment="1" applyProtection="1">
      <alignment horizontal="center" vertical="center"/>
      <protection hidden="1"/>
    </xf>
    <xf numFmtId="1" fontId="19" fillId="3" borderId="14" xfId="0" applyNumberFormat="1" applyFont="1" applyFill="1" applyBorder="1" applyAlignment="1" applyProtection="1">
      <alignment horizontal="center" vertical="center"/>
      <protection hidden="1"/>
    </xf>
    <xf numFmtId="1" fontId="19" fillId="3" borderId="15" xfId="2" applyNumberFormat="1" applyFont="1" applyFill="1" applyBorder="1" applyAlignment="1" applyProtection="1">
      <alignment horizontal="center" vertical="center"/>
      <protection hidden="1"/>
    </xf>
    <xf numFmtId="0" fontId="76" fillId="0" borderId="0" xfId="4" applyFont="1" applyProtection="1">
      <protection hidden="1"/>
    </xf>
    <xf numFmtId="0" fontId="68" fillId="3" borderId="33" xfId="0" applyFont="1" applyFill="1" applyBorder="1" applyAlignment="1" applyProtection="1">
      <alignment vertical="center"/>
      <protection hidden="1"/>
    </xf>
    <xf numFmtId="0" fontId="75" fillId="3" borderId="11" xfId="0" applyFont="1" applyFill="1" applyBorder="1" applyProtection="1">
      <protection hidden="1"/>
    </xf>
    <xf numFmtId="0" fontId="75" fillId="3" borderId="33" xfId="0" applyFont="1" applyFill="1" applyBorder="1" applyProtection="1">
      <protection hidden="1"/>
    </xf>
    <xf numFmtId="0" fontId="68" fillId="3" borderId="13" xfId="0" applyFont="1" applyFill="1" applyBorder="1" applyProtection="1">
      <protection hidden="1"/>
    </xf>
    <xf numFmtId="0" fontId="71" fillId="3" borderId="1" xfId="0" applyFont="1" applyFill="1" applyBorder="1" applyAlignment="1" applyProtection="1">
      <alignment horizontal="center" vertical="center"/>
      <protection hidden="1"/>
    </xf>
    <xf numFmtId="0" fontId="71" fillId="3" borderId="1" xfId="0" applyFont="1" applyFill="1" applyBorder="1" applyAlignment="1" applyProtection="1">
      <alignment horizontal="center" vertical="center" wrapText="1"/>
      <protection hidden="1"/>
    </xf>
    <xf numFmtId="0" fontId="74" fillId="4" borderId="1" xfId="0" applyFont="1" applyFill="1" applyBorder="1" applyAlignment="1" applyProtection="1">
      <alignment horizontal="center" vertical="center" wrapText="1"/>
      <protection hidden="1"/>
    </xf>
    <xf numFmtId="0" fontId="73" fillId="3" borderId="1" xfId="0" applyFont="1" applyFill="1" applyBorder="1" applyAlignment="1" applyProtection="1">
      <alignment horizontal="center" vertical="center" wrapText="1"/>
      <protection hidden="1"/>
    </xf>
    <xf numFmtId="0" fontId="65" fillId="3" borderId="1" xfId="0" applyFont="1" applyFill="1" applyBorder="1" applyAlignment="1" applyProtection="1">
      <alignment horizontal="center" vertical="center" wrapText="1"/>
      <protection hidden="1"/>
    </xf>
    <xf numFmtId="0" fontId="71" fillId="3" borderId="11" xfId="0" applyFont="1" applyFill="1" applyBorder="1" applyAlignment="1" applyProtection="1">
      <alignment vertical="center"/>
      <protection hidden="1"/>
    </xf>
    <xf numFmtId="0" fontId="71" fillId="3" borderId="28" xfId="0" applyFont="1" applyFill="1" applyBorder="1" applyAlignment="1" applyProtection="1">
      <alignment horizontal="center" vertical="center" wrapText="1"/>
      <protection hidden="1"/>
    </xf>
    <xf numFmtId="0" fontId="26" fillId="4" borderId="11" xfId="0" applyFont="1" applyFill="1" applyBorder="1" applyAlignment="1" applyProtection="1">
      <alignment horizontal="left" vertical="center"/>
      <protection hidden="1"/>
    </xf>
    <xf numFmtId="0" fontId="72" fillId="3" borderId="11" xfId="0" applyFont="1" applyFill="1" applyBorder="1" applyAlignment="1" applyProtection="1">
      <alignment horizontal="left" vertical="center"/>
      <protection hidden="1"/>
    </xf>
    <xf numFmtId="169" fontId="73" fillId="3" borderId="28" xfId="0" applyNumberFormat="1" applyFont="1" applyFill="1" applyBorder="1" applyAlignment="1" applyProtection="1">
      <alignment horizontal="center" vertical="center" wrapText="1"/>
      <protection hidden="1"/>
    </xf>
    <xf numFmtId="0" fontId="65" fillId="3" borderId="11" xfId="0" applyFont="1" applyFill="1" applyBorder="1" applyAlignment="1" applyProtection="1">
      <alignment horizontal="left" vertical="center"/>
      <protection hidden="1"/>
    </xf>
    <xf numFmtId="0" fontId="72" fillId="3" borderId="11" xfId="0" applyFont="1" applyFill="1" applyBorder="1" applyAlignment="1" applyProtection="1">
      <alignment horizontal="left" vertical="center" wrapText="1"/>
      <protection hidden="1"/>
    </xf>
    <xf numFmtId="169" fontId="65" fillId="3" borderId="28" xfId="0" applyNumberFormat="1" applyFont="1" applyFill="1" applyBorder="1" applyAlignment="1" applyProtection="1">
      <alignment horizontal="center" vertical="center" wrapText="1"/>
      <protection hidden="1"/>
    </xf>
    <xf numFmtId="0" fontId="73" fillId="3" borderId="11" xfId="0" applyFont="1" applyFill="1" applyBorder="1" applyAlignment="1" applyProtection="1">
      <alignment horizontal="left" vertical="center"/>
      <protection hidden="1"/>
    </xf>
    <xf numFmtId="0" fontId="19" fillId="3" borderId="11" xfId="0" applyFont="1" applyFill="1" applyBorder="1" applyAlignment="1" applyProtection="1">
      <alignment horizontal="left" vertical="center"/>
      <protection hidden="1"/>
    </xf>
    <xf numFmtId="0" fontId="65" fillId="3" borderId="13" xfId="0" applyFont="1" applyFill="1" applyBorder="1" applyAlignment="1" applyProtection="1">
      <alignment horizontal="left" vertical="center"/>
      <protection hidden="1"/>
    </xf>
    <xf numFmtId="0" fontId="65" fillId="3" borderId="14" xfId="0" applyFont="1" applyFill="1" applyBorder="1" applyAlignment="1" applyProtection="1">
      <alignment horizontal="center" vertical="center" wrapText="1"/>
      <protection hidden="1"/>
    </xf>
    <xf numFmtId="169" fontId="74" fillId="4" borderId="28" xfId="0" applyNumberFormat="1" applyFont="1" applyFill="1" applyBorder="1" applyAlignment="1" applyProtection="1">
      <alignment horizontal="center" vertical="center" wrapText="1"/>
      <protection hidden="1"/>
    </xf>
    <xf numFmtId="0" fontId="77" fillId="3" borderId="1" xfId="0" applyFont="1" applyFill="1" applyBorder="1" applyAlignment="1" applyProtection="1">
      <alignment horizontal="center" vertical="center" wrapText="1"/>
      <protection hidden="1"/>
    </xf>
    <xf numFmtId="169" fontId="26" fillId="4" borderId="28" xfId="0" applyNumberFormat="1" applyFont="1" applyFill="1" applyBorder="1" applyAlignment="1" applyProtection="1">
      <alignment horizontal="center"/>
      <protection hidden="1"/>
    </xf>
    <xf numFmtId="169" fontId="65" fillId="3" borderId="15" xfId="0" applyNumberFormat="1" applyFont="1" applyFill="1" applyBorder="1" applyAlignment="1" applyProtection="1">
      <alignment horizontal="center" vertical="center" wrapText="1"/>
      <protection hidden="1"/>
    </xf>
    <xf numFmtId="0" fontId="0" fillId="13" borderId="0" xfId="0" applyFill="1" applyProtection="1">
      <protection hidden="1"/>
    </xf>
    <xf numFmtId="0" fontId="4" fillId="13" borderId="0" xfId="0" applyFont="1" applyFill="1" applyAlignment="1" applyProtection="1">
      <alignment wrapText="1"/>
      <protection hidden="1"/>
    </xf>
    <xf numFmtId="0" fontId="35" fillId="13" borderId="0" xfId="0" applyFont="1" applyFill="1" applyProtection="1">
      <protection hidden="1"/>
    </xf>
    <xf numFmtId="2" fontId="19" fillId="3" borderId="1" xfId="0" applyNumberFormat="1" applyFont="1" applyFill="1" applyBorder="1" applyAlignment="1" applyProtection="1">
      <alignment horizontal="center" vertical="center"/>
      <protection hidden="1"/>
    </xf>
    <xf numFmtId="2" fontId="19" fillId="3" borderId="14" xfId="0" applyNumberFormat="1" applyFont="1" applyFill="1" applyBorder="1" applyAlignment="1" applyProtection="1">
      <alignment horizontal="center" vertical="center"/>
      <protection hidden="1"/>
    </xf>
    <xf numFmtId="169" fontId="65" fillId="5" borderId="1" xfId="0" applyNumberFormat="1" applyFont="1" applyFill="1" applyBorder="1" applyAlignment="1" applyProtection="1">
      <alignment horizontal="center" vertical="center"/>
      <protection hidden="1"/>
    </xf>
    <xf numFmtId="169" fontId="65" fillId="5" borderId="9" xfId="0" applyNumberFormat="1" applyFont="1" applyFill="1" applyBorder="1" applyAlignment="1" applyProtection="1">
      <alignment horizontal="center" vertical="center"/>
      <protection hidden="1"/>
    </xf>
    <xf numFmtId="169" fontId="65" fillId="5" borderId="4" xfId="0" applyNumberFormat="1" applyFont="1" applyFill="1" applyBorder="1" applyAlignment="1" applyProtection="1">
      <alignment horizontal="center" vertical="center"/>
      <protection hidden="1"/>
    </xf>
    <xf numFmtId="0" fontId="78" fillId="3" borderId="11" xfId="0" applyFont="1" applyFill="1" applyBorder="1" applyAlignment="1" applyProtection="1">
      <alignment horizontal="left"/>
      <protection hidden="1"/>
    </xf>
    <xf numFmtId="0" fontId="78" fillId="3" borderId="13" xfId="0" applyFont="1" applyFill="1" applyBorder="1" applyAlignment="1" applyProtection="1">
      <alignment horizontal="left"/>
      <protection hidden="1"/>
    </xf>
    <xf numFmtId="0" fontId="2" fillId="13" borderId="0" xfId="0" applyFont="1" applyFill="1"/>
    <xf numFmtId="9" fontId="65" fillId="3" borderId="1" xfId="3" applyFont="1" applyFill="1" applyBorder="1" applyAlignment="1" applyProtection="1">
      <alignment horizontal="left" vertical="center"/>
      <protection locked="0"/>
    </xf>
    <xf numFmtId="10" fontId="19" fillId="5" borderId="1" xfId="3" applyNumberFormat="1" applyFont="1" applyFill="1" applyBorder="1" applyAlignment="1" applyProtection="1">
      <alignment horizontal="left" vertical="center" wrapText="1"/>
      <protection hidden="1"/>
    </xf>
    <xf numFmtId="0" fontId="9" fillId="8" borderId="45" xfId="12" applyFont="1" applyFill="1" applyBorder="1"/>
    <xf numFmtId="0" fontId="9" fillId="8" borderId="46" xfId="12" applyFont="1" applyFill="1" applyBorder="1"/>
    <xf numFmtId="0" fontId="9" fillId="3" borderId="45" xfId="12" applyFont="1" applyFill="1" applyBorder="1"/>
    <xf numFmtId="0" fontId="9" fillId="0" borderId="0" xfId="12" applyFont="1"/>
    <xf numFmtId="0" fontId="9" fillId="11" borderId="44" xfId="12" applyFont="1" applyFill="1" applyBorder="1"/>
    <xf numFmtId="0" fontId="9" fillId="11" borderId="45" xfId="12" applyFont="1" applyFill="1" applyBorder="1"/>
    <xf numFmtId="0" fontId="9" fillId="11" borderId="46" xfId="12" applyFont="1" applyFill="1" applyBorder="1"/>
    <xf numFmtId="169" fontId="19" fillId="5" borderId="1" xfId="3" applyNumberFormat="1" applyFont="1" applyFill="1" applyBorder="1" applyAlignment="1" applyProtection="1">
      <alignment horizontal="left" vertical="center" wrapText="1"/>
      <protection hidden="1"/>
    </xf>
    <xf numFmtId="0" fontId="2" fillId="4" borderId="64" xfId="0" applyFont="1" applyFill="1" applyBorder="1" applyAlignment="1" applyProtection="1">
      <alignment horizontal="left" vertical="center" wrapText="1"/>
      <protection hidden="1"/>
    </xf>
    <xf numFmtId="0" fontId="65" fillId="5" borderId="17" xfId="0" applyFont="1" applyFill="1" applyBorder="1" applyAlignment="1" applyProtection="1">
      <alignment horizontal="center" vertical="center" wrapText="1"/>
      <protection hidden="1"/>
    </xf>
    <xf numFmtId="0" fontId="65" fillId="7" borderId="4" xfId="0" applyFont="1" applyFill="1" applyBorder="1" applyAlignment="1" applyProtection="1">
      <alignment horizontal="left" vertical="center" wrapText="1"/>
      <protection hidden="1"/>
    </xf>
    <xf numFmtId="0" fontId="4" fillId="5" borderId="8" xfId="0" applyFont="1" applyFill="1" applyBorder="1" applyAlignment="1" applyProtection="1">
      <alignment horizontal="left" vertical="center"/>
      <protection hidden="1"/>
    </xf>
    <xf numFmtId="49" fontId="4" fillId="5" borderId="64" xfId="0" applyNumberFormat="1" applyFont="1" applyFill="1" applyBorder="1" applyAlignment="1" applyProtection="1">
      <alignment horizontal="left" vertical="center" wrapText="1"/>
      <protection locked="0"/>
    </xf>
    <xf numFmtId="0" fontId="8" fillId="8" borderId="0" xfId="0" applyFont="1" applyFill="1" applyProtection="1">
      <protection hidden="1"/>
    </xf>
    <xf numFmtId="0" fontId="40" fillId="8" borderId="0" xfId="0" applyFont="1" applyFill="1" applyProtection="1">
      <protection hidden="1"/>
    </xf>
    <xf numFmtId="2" fontId="65" fillId="3" borderId="60" xfId="0" applyNumberFormat="1" applyFont="1" applyFill="1" applyBorder="1" applyAlignment="1" applyProtection="1">
      <alignment horizontal="left" vertical="center" wrapText="1"/>
      <protection locked="0"/>
    </xf>
    <xf numFmtId="0" fontId="65" fillId="5" borderId="20" xfId="0" applyFont="1" applyFill="1" applyBorder="1" applyAlignment="1" applyProtection="1">
      <alignment horizontal="center" vertical="center"/>
      <protection hidden="1"/>
    </xf>
    <xf numFmtId="0" fontId="65" fillId="5" borderId="1" xfId="0" applyFont="1" applyFill="1" applyBorder="1" applyAlignment="1" applyProtection="1">
      <alignment horizontal="center" vertical="center" wrapText="1"/>
      <protection hidden="1"/>
    </xf>
    <xf numFmtId="0" fontId="19" fillId="5" borderId="20" xfId="0" applyFont="1" applyFill="1" applyBorder="1" applyAlignment="1" applyProtection="1">
      <alignment horizontal="center" vertical="center"/>
      <protection hidden="1"/>
    </xf>
    <xf numFmtId="10" fontId="65" fillId="12" borderId="14" xfId="3" applyNumberFormat="1" applyFont="1" applyFill="1" applyBorder="1" applyAlignment="1" applyProtection="1">
      <alignment horizontal="left" vertical="center" wrapText="1"/>
      <protection hidden="1"/>
    </xf>
    <xf numFmtId="0" fontId="65" fillId="3" borderId="28" xfId="0" applyFont="1" applyFill="1" applyBorder="1" applyAlignment="1" applyProtection="1">
      <alignment horizontal="center" vertical="center" wrapText="1"/>
      <protection hidden="1"/>
    </xf>
    <xf numFmtId="0" fontId="26" fillId="2" borderId="18" xfId="0" applyFont="1" applyFill="1" applyBorder="1" applyAlignment="1" applyProtection="1">
      <alignment horizontal="center" vertical="center" wrapText="1"/>
      <protection hidden="1"/>
    </xf>
    <xf numFmtId="0" fontId="26" fillId="2" borderId="33" xfId="0" applyFont="1" applyFill="1" applyBorder="1" applyAlignment="1" applyProtection="1">
      <alignment horizontal="center" vertical="center" wrapText="1"/>
      <protection hidden="1"/>
    </xf>
    <xf numFmtId="0" fontId="26" fillId="2" borderId="17" xfId="0" applyFont="1" applyFill="1" applyBorder="1" applyAlignment="1" applyProtection="1">
      <alignment horizontal="center" vertical="center" wrapText="1"/>
      <protection hidden="1"/>
    </xf>
    <xf numFmtId="0" fontId="26" fillId="2" borderId="63" xfId="0" applyFont="1" applyFill="1" applyBorder="1" applyAlignment="1" applyProtection="1">
      <alignment horizontal="center" vertical="center" wrapText="1"/>
      <protection hidden="1"/>
    </xf>
    <xf numFmtId="0" fontId="19" fillId="5" borderId="11" xfId="0" applyFont="1" applyFill="1" applyBorder="1" applyAlignment="1" applyProtection="1">
      <alignment horizontal="left" vertical="center" wrapText="1"/>
      <protection hidden="1"/>
    </xf>
    <xf numFmtId="0" fontId="26" fillId="2" borderId="3" xfId="0" applyFont="1" applyFill="1" applyBorder="1" applyAlignment="1" applyProtection="1">
      <alignment horizontal="center" vertical="center" wrapText="1"/>
      <protection hidden="1"/>
    </xf>
    <xf numFmtId="0" fontId="26" fillId="2" borderId="34" xfId="0" applyFont="1" applyFill="1" applyBorder="1" applyAlignment="1" applyProtection="1">
      <alignment horizontal="center" vertical="center" wrapText="1"/>
      <protection hidden="1"/>
    </xf>
    <xf numFmtId="0" fontId="26" fillId="2" borderId="26" xfId="0" applyFont="1" applyFill="1" applyBorder="1" applyAlignment="1" applyProtection="1">
      <alignment horizontal="center" vertical="center" wrapText="1"/>
      <protection hidden="1"/>
    </xf>
    <xf numFmtId="0" fontId="26" fillId="2" borderId="27" xfId="0" applyFont="1" applyFill="1" applyBorder="1" applyAlignment="1" applyProtection="1">
      <alignment horizontal="center" vertical="center" wrapText="1"/>
      <protection hidden="1"/>
    </xf>
    <xf numFmtId="0" fontId="1" fillId="8" borderId="0" xfId="0" applyFont="1" applyFill="1" applyAlignment="1">
      <alignment horizontal="center"/>
    </xf>
    <xf numFmtId="0" fontId="26" fillId="15" borderId="60" xfId="0" applyFont="1" applyFill="1" applyBorder="1" applyAlignment="1" applyProtection="1">
      <alignment vertical="center"/>
      <protection hidden="1"/>
    </xf>
    <xf numFmtId="0" fontId="64" fillId="15" borderId="24" xfId="0" applyFont="1" applyFill="1" applyBorder="1" applyAlignment="1" applyProtection="1">
      <alignment horizontal="center" vertical="center" wrapText="1"/>
      <protection hidden="1"/>
    </xf>
    <xf numFmtId="0" fontId="64" fillId="15" borderId="7" xfId="0" applyFont="1" applyFill="1" applyBorder="1" applyAlignment="1" applyProtection="1">
      <alignment horizontal="center" vertical="center" wrapText="1"/>
      <protection hidden="1"/>
    </xf>
    <xf numFmtId="0" fontId="0" fillId="0" borderId="68" xfId="0" applyBorder="1" applyAlignment="1" applyProtection="1">
      <alignment vertical="center"/>
      <protection hidden="1"/>
    </xf>
    <xf numFmtId="0" fontId="0" fillId="0" borderId="0" xfId="0" applyAlignment="1" applyProtection="1">
      <alignment horizontal="center" vertical="center" wrapText="1"/>
      <protection hidden="1"/>
    </xf>
    <xf numFmtId="0" fontId="0" fillId="0" borderId="66" xfId="0" applyBorder="1" applyAlignment="1" applyProtection="1">
      <alignment horizontal="center" vertical="center" wrapText="1"/>
      <protection hidden="1"/>
    </xf>
    <xf numFmtId="0" fontId="40" fillId="16" borderId="68" xfId="0" applyFont="1" applyFill="1" applyBorder="1" applyAlignment="1" applyProtection="1">
      <alignment vertical="center"/>
      <protection hidden="1"/>
    </xf>
    <xf numFmtId="0" fontId="40" fillId="16" borderId="0" xfId="0" applyFont="1" applyFill="1" applyAlignment="1" applyProtection="1">
      <alignment horizontal="center" vertical="center" wrapText="1"/>
      <protection hidden="1"/>
    </xf>
    <xf numFmtId="0" fontId="40" fillId="16" borderId="66" xfId="0" applyFont="1" applyFill="1" applyBorder="1" applyAlignment="1" applyProtection="1">
      <alignment horizontal="center" vertical="center" wrapText="1"/>
      <protection hidden="1"/>
    </xf>
    <xf numFmtId="0" fontId="40" fillId="16" borderId="70" xfId="0" applyFont="1" applyFill="1" applyBorder="1" applyAlignment="1" applyProtection="1">
      <alignment vertical="center"/>
      <protection hidden="1"/>
    </xf>
    <xf numFmtId="0" fontId="40" fillId="16" borderId="5" xfId="0" applyFont="1" applyFill="1" applyBorder="1" applyAlignment="1" applyProtection="1">
      <alignment horizontal="center" vertical="center" wrapText="1"/>
      <protection hidden="1"/>
    </xf>
    <xf numFmtId="0" fontId="40" fillId="16" borderId="67" xfId="0"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0" fillId="6" borderId="0" xfId="0" applyFill="1" applyProtection="1">
      <protection hidden="1"/>
    </xf>
    <xf numFmtId="0" fontId="6" fillId="0" borderId="0" xfId="0" applyFont="1" applyProtection="1">
      <protection hidden="1"/>
    </xf>
    <xf numFmtId="0" fontId="4" fillId="0" borderId="0" xfId="0" applyFont="1" applyProtection="1">
      <protection hidden="1"/>
    </xf>
    <xf numFmtId="0" fontId="1" fillId="13" borderId="0" xfId="0" applyFont="1" applyFill="1" applyAlignment="1" applyProtection="1">
      <alignment horizontal="center" vertical="center" wrapText="1"/>
      <protection hidden="1"/>
    </xf>
    <xf numFmtId="0" fontId="4" fillId="6" borderId="0" xfId="0" applyFont="1" applyFill="1" applyProtection="1">
      <protection hidden="1"/>
    </xf>
    <xf numFmtId="0" fontId="4" fillId="13" borderId="0" xfId="0" applyFont="1" applyFill="1" applyProtection="1">
      <protection hidden="1"/>
    </xf>
    <xf numFmtId="0" fontId="4" fillId="9" borderId="0" xfId="0" applyFont="1" applyFill="1" applyProtection="1">
      <protection hidden="1"/>
    </xf>
    <xf numFmtId="0" fontId="0" fillId="8" borderId="0" xfId="0" applyFill="1" applyAlignment="1" applyProtection="1">
      <alignment horizontal="center"/>
      <protection hidden="1"/>
    </xf>
    <xf numFmtId="0" fontId="0" fillId="13" borderId="0" xfId="0" applyFill="1" applyAlignment="1" applyProtection="1">
      <alignment horizontal="center"/>
      <protection hidden="1"/>
    </xf>
    <xf numFmtId="0" fontId="2" fillId="13" borderId="0" xfId="0" applyFont="1" applyFill="1" applyProtection="1">
      <protection hidden="1"/>
    </xf>
    <xf numFmtId="0" fontId="1" fillId="8" borderId="0" xfId="0" applyFont="1" applyFill="1" applyProtection="1">
      <protection hidden="1"/>
    </xf>
    <xf numFmtId="1" fontId="1" fillId="8" borderId="0" xfId="0" applyNumberFormat="1" applyFont="1" applyFill="1" applyProtection="1">
      <protection hidden="1"/>
    </xf>
    <xf numFmtId="0" fontId="2" fillId="0" borderId="0" xfId="0" applyFont="1" applyProtection="1">
      <protection hidden="1"/>
    </xf>
    <xf numFmtId="0" fontId="63" fillId="7" borderId="68" xfId="0" applyFont="1" applyFill="1" applyBorder="1" applyAlignment="1" applyProtection="1">
      <alignment vertical="center" wrapText="1"/>
      <protection hidden="1"/>
    </xf>
    <xf numFmtId="0" fontId="63" fillId="7" borderId="0" xfId="0" applyFont="1" applyFill="1" applyAlignment="1" applyProtection="1">
      <alignment vertical="center" wrapText="1"/>
      <protection hidden="1"/>
    </xf>
    <xf numFmtId="0" fontId="63" fillId="7" borderId="66" xfId="0" applyFont="1" applyFill="1" applyBorder="1" applyAlignment="1" applyProtection="1">
      <alignment vertical="center" wrapText="1"/>
      <protection hidden="1"/>
    </xf>
    <xf numFmtId="0" fontId="0" fillId="0" borderId="0" xfId="0" applyAlignment="1" applyProtection="1">
      <alignment horizontal="center"/>
      <protection hidden="1"/>
    </xf>
    <xf numFmtId="0" fontId="25" fillId="2" borderId="0" xfId="0" applyFont="1" applyFill="1" applyAlignment="1">
      <alignment horizontal="center"/>
    </xf>
    <xf numFmtId="0" fontId="26" fillId="2" borderId="4" xfId="0" applyFont="1" applyFill="1" applyBorder="1" applyAlignment="1" applyProtection="1">
      <alignment horizontal="center" vertical="center" wrapText="1"/>
      <protection hidden="1"/>
    </xf>
    <xf numFmtId="0" fontId="26" fillId="2" borderId="6" xfId="0" applyFont="1" applyFill="1" applyBorder="1" applyAlignment="1" applyProtection="1">
      <alignment horizontal="center" vertical="center" wrapText="1"/>
      <protection hidden="1"/>
    </xf>
    <xf numFmtId="0" fontId="26" fillId="2" borderId="70" xfId="0" applyFont="1" applyFill="1" applyBorder="1" applyAlignment="1" applyProtection="1">
      <alignment horizontal="center" vertical="center" wrapText="1"/>
      <protection hidden="1"/>
    </xf>
    <xf numFmtId="0" fontId="26" fillId="2" borderId="50" xfId="0" applyFont="1" applyFill="1" applyBorder="1" applyAlignment="1" applyProtection="1">
      <alignment horizontal="center" vertical="center" wrapText="1"/>
      <protection hidden="1"/>
    </xf>
    <xf numFmtId="0" fontId="26" fillId="2" borderId="51" xfId="0" applyFont="1" applyFill="1" applyBorder="1" applyAlignment="1" applyProtection="1">
      <alignment horizontal="center" vertical="center" wrapText="1"/>
      <protection hidden="1"/>
    </xf>
    <xf numFmtId="0" fontId="65" fillId="3" borderId="8" xfId="2" applyNumberFormat="1" applyFont="1" applyFill="1" applyBorder="1" applyAlignment="1" applyProtection="1">
      <alignment horizontal="center" vertical="center" wrapText="1"/>
      <protection locked="0"/>
    </xf>
    <xf numFmtId="0" fontId="65" fillId="3" borderId="9" xfId="2" applyNumberFormat="1" applyFont="1" applyFill="1" applyBorder="1" applyAlignment="1" applyProtection="1">
      <alignment horizontal="center" vertical="center" wrapText="1"/>
      <protection locked="0"/>
    </xf>
    <xf numFmtId="0" fontId="65" fillId="3" borderId="10" xfId="2" applyNumberFormat="1" applyFont="1" applyFill="1" applyBorder="1" applyAlignment="1" applyProtection="1">
      <alignment horizontal="center" vertical="center" wrapText="1"/>
      <protection locked="0"/>
    </xf>
    <xf numFmtId="0" fontId="65" fillId="3" borderId="8" xfId="0" applyFont="1" applyFill="1" applyBorder="1" applyAlignment="1" applyProtection="1">
      <alignment horizontal="center" vertical="center" wrapText="1"/>
      <protection locked="0"/>
    </xf>
    <xf numFmtId="0" fontId="65" fillId="3" borderId="9" xfId="0" applyFont="1" applyFill="1" applyBorder="1" applyAlignment="1" applyProtection="1">
      <alignment horizontal="center" vertical="center" wrapText="1"/>
      <protection locked="0"/>
    </xf>
    <xf numFmtId="0" fontId="65" fillId="3" borderId="10" xfId="0" applyFont="1" applyFill="1" applyBorder="1" applyAlignment="1" applyProtection="1">
      <alignment horizontal="center" vertical="center" wrapText="1"/>
      <protection locked="0"/>
    </xf>
    <xf numFmtId="0" fontId="26" fillId="2" borderId="18" xfId="0" applyFont="1" applyFill="1" applyBorder="1" applyAlignment="1" applyProtection="1">
      <alignment horizontal="center" vertical="center" wrapText="1"/>
      <protection hidden="1"/>
    </xf>
    <xf numFmtId="0" fontId="26" fillId="2" borderId="19" xfId="0" applyFont="1" applyFill="1" applyBorder="1" applyAlignment="1" applyProtection="1">
      <alignment horizontal="center" vertical="center" wrapText="1"/>
      <protection hidden="1"/>
    </xf>
    <xf numFmtId="0" fontId="26" fillId="2" borderId="20" xfId="0" applyFont="1" applyFill="1" applyBorder="1" applyAlignment="1" applyProtection="1">
      <alignment horizontal="center" vertical="center" wrapText="1"/>
      <protection hidden="1"/>
    </xf>
    <xf numFmtId="0" fontId="65" fillId="3" borderId="40" xfId="0" applyFont="1" applyFill="1" applyBorder="1" applyAlignment="1" applyProtection="1">
      <alignment horizontal="center" vertical="center" wrapText="1"/>
      <protection locked="0"/>
    </xf>
    <xf numFmtId="0" fontId="65" fillId="3" borderId="54" xfId="0" applyFont="1" applyFill="1" applyBorder="1" applyAlignment="1" applyProtection="1">
      <alignment horizontal="center" vertical="center" wrapText="1"/>
      <protection locked="0"/>
    </xf>
    <xf numFmtId="0" fontId="65" fillId="3" borderId="21" xfId="0" applyFont="1" applyFill="1" applyBorder="1" applyAlignment="1" applyProtection="1">
      <alignment horizontal="center" vertical="center" wrapText="1"/>
      <protection locked="0"/>
    </xf>
    <xf numFmtId="0" fontId="26" fillId="2" borderId="5" xfId="0" applyFont="1" applyFill="1" applyBorder="1" applyAlignment="1" applyProtection="1">
      <alignment horizontal="center" vertical="center" wrapText="1"/>
      <protection hidden="1"/>
    </xf>
    <xf numFmtId="0" fontId="26" fillId="2" borderId="53" xfId="0" applyFont="1" applyFill="1" applyBorder="1" applyAlignment="1" applyProtection="1">
      <alignment horizontal="center" vertical="center" wrapText="1"/>
      <protection hidden="1"/>
    </xf>
    <xf numFmtId="9" fontId="65" fillId="3" borderId="8" xfId="3" applyFont="1" applyFill="1" applyBorder="1" applyAlignment="1" applyProtection="1">
      <alignment horizontal="center" vertical="center" wrapText="1"/>
      <protection locked="0"/>
    </xf>
    <xf numFmtId="9" fontId="65" fillId="3" borderId="9" xfId="3" applyFont="1" applyFill="1" applyBorder="1" applyAlignment="1" applyProtection="1">
      <alignment horizontal="center" vertical="center" wrapText="1"/>
      <protection locked="0"/>
    </xf>
    <xf numFmtId="9" fontId="65" fillId="3" borderId="10" xfId="3" applyFont="1" applyFill="1" applyBorder="1" applyAlignment="1" applyProtection="1">
      <alignment horizontal="center" vertical="center" wrapText="1"/>
      <protection locked="0"/>
    </xf>
    <xf numFmtId="0" fontId="26" fillId="2" borderId="36" xfId="0" applyFont="1" applyFill="1" applyBorder="1" applyAlignment="1" applyProtection="1">
      <alignment horizontal="center" vertical="center" wrapText="1"/>
      <protection hidden="1"/>
    </xf>
    <xf numFmtId="0" fontId="19" fillId="5" borderId="71" xfId="0" applyFont="1" applyFill="1" applyBorder="1" applyAlignment="1" applyProtection="1">
      <alignment horizontal="left" vertical="center" wrapText="1"/>
      <protection hidden="1"/>
    </xf>
    <xf numFmtId="0" fontId="19" fillId="5" borderId="7" xfId="0" applyFont="1" applyFill="1" applyBorder="1" applyAlignment="1" applyProtection="1">
      <alignment horizontal="left" vertical="center" wrapText="1"/>
      <protection hidden="1"/>
    </xf>
    <xf numFmtId="0" fontId="19" fillId="5" borderId="23" xfId="0" applyFont="1" applyFill="1" applyBorder="1" applyAlignment="1" applyProtection="1">
      <alignment horizontal="left" vertical="center" wrapText="1"/>
      <protection hidden="1"/>
    </xf>
    <xf numFmtId="0" fontId="19" fillId="5" borderId="21" xfId="0" applyFont="1" applyFill="1" applyBorder="1" applyAlignment="1" applyProtection="1">
      <alignment horizontal="left" vertical="center" wrapText="1"/>
      <protection hidden="1"/>
    </xf>
    <xf numFmtId="0" fontId="19" fillId="5" borderId="31" xfId="0" applyFont="1" applyFill="1" applyBorder="1" applyAlignment="1" applyProtection="1">
      <alignment horizontal="left" vertical="center" wrapText="1"/>
      <protection hidden="1"/>
    </xf>
    <xf numFmtId="0" fontId="19" fillId="5" borderId="41" xfId="0" applyFont="1" applyFill="1" applyBorder="1" applyAlignment="1" applyProtection="1">
      <alignment horizontal="left" vertical="center" wrapText="1"/>
      <protection hidden="1"/>
    </xf>
    <xf numFmtId="0" fontId="19" fillId="5" borderId="22" xfId="0" applyFont="1" applyFill="1" applyBorder="1" applyAlignment="1" applyProtection="1">
      <alignment horizontal="left" vertical="center" wrapText="1"/>
      <protection hidden="1"/>
    </xf>
    <xf numFmtId="0" fontId="19" fillId="5" borderId="10" xfId="0" applyFont="1" applyFill="1" applyBorder="1" applyAlignment="1" applyProtection="1">
      <alignment horizontal="left" vertical="center" wrapText="1"/>
      <protection hidden="1"/>
    </xf>
    <xf numFmtId="0" fontId="1" fillId="2" borderId="18" xfId="0" applyFont="1" applyFill="1" applyBorder="1" applyAlignment="1" applyProtection="1">
      <alignment horizontal="center" vertical="center" wrapText="1"/>
      <protection hidden="1"/>
    </xf>
    <xf numFmtId="0" fontId="1" fillId="2" borderId="19" xfId="0" applyFont="1" applyFill="1" applyBorder="1" applyAlignment="1" applyProtection="1">
      <alignment horizontal="center" vertical="center" wrapText="1"/>
      <protection hidden="1"/>
    </xf>
    <xf numFmtId="0" fontId="1" fillId="2" borderId="20" xfId="0" applyFont="1" applyFill="1" applyBorder="1" applyAlignment="1" applyProtection="1">
      <alignment horizontal="center" vertical="center" wrapText="1"/>
      <protection hidden="1"/>
    </xf>
    <xf numFmtId="0" fontId="26" fillId="2" borderId="33" xfId="0" applyFont="1" applyFill="1" applyBorder="1" applyAlignment="1" applyProtection="1">
      <alignment horizontal="center" vertical="center" wrapText="1"/>
      <protection hidden="1"/>
    </xf>
    <xf numFmtId="0" fontId="26" fillId="2" borderId="17" xfId="0" applyFont="1" applyFill="1" applyBorder="1" applyAlignment="1" applyProtection="1">
      <alignment horizontal="center" vertical="center" wrapText="1"/>
      <protection hidden="1"/>
    </xf>
    <xf numFmtId="0" fontId="19" fillId="12" borderId="11" xfId="0" applyFont="1" applyFill="1" applyBorder="1" applyAlignment="1" applyProtection="1">
      <alignment horizontal="left" vertical="center" wrapText="1"/>
      <protection hidden="1"/>
    </xf>
    <xf numFmtId="0" fontId="19" fillId="12" borderId="1" xfId="0" applyFont="1" applyFill="1" applyBorder="1" applyAlignment="1" applyProtection="1">
      <alignment horizontal="left" vertical="center" wrapText="1"/>
      <protection hidden="1"/>
    </xf>
    <xf numFmtId="0" fontId="19" fillId="12" borderId="23" xfId="0" applyFont="1" applyFill="1" applyBorder="1" applyAlignment="1" applyProtection="1">
      <alignment horizontal="left" vertical="center" wrapText="1"/>
      <protection hidden="1"/>
    </xf>
    <xf numFmtId="0" fontId="19" fillId="12" borderId="21" xfId="0" applyFont="1" applyFill="1" applyBorder="1" applyAlignment="1" applyProtection="1">
      <alignment horizontal="left" vertical="center" wrapText="1"/>
      <protection hidden="1"/>
    </xf>
    <xf numFmtId="0" fontId="19" fillId="12" borderId="22" xfId="0" applyFont="1" applyFill="1" applyBorder="1" applyAlignment="1" applyProtection="1">
      <alignment horizontal="left" vertical="center" wrapText="1"/>
      <protection hidden="1"/>
    </xf>
    <xf numFmtId="0" fontId="19" fillId="12" borderId="10" xfId="0" applyFont="1" applyFill="1" applyBorder="1" applyAlignment="1" applyProtection="1">
      <alignment horizontal="left" vertical="center" wrapText="1"/>
      <protection hidden="1"/>
    </xf>
    <xf numFmtId="0" fontId="19" fillId="5" borderId="22" xfId="0" applyFont="1" applyFill="1" applyBorder="1" applyAlignment="1" applyProtection="1">
      <alignment vertical="center" wrapText="1"/>
      <protection hidden="1"/>
    </xf>
    <xf numFmtId="0" fontId="19" fillId="5" borderId="10" xfId="0" applyFont="1" applyFill="1" applyBorder="1" applyAlignment="1" applyProtection="1">
      <alignment vertical="center" wrapText="1"/>
      <protection hidden="1"/>
    </xf>
    <xf numFmtId="0" fontId="26" fillId="2" borderId="63" xfId="0" applyFont="1" applyFill="1" applyBorder="1" applyAlignment="1" applyProtection="1">
      <alignment horizontal="center" vertical="center" wrapText="1"/>
      <protection hidden="1"/>
    </xf>
    <xf numFmtId="0" fontId="25" fillId="2" borderId="0" xfId="0" applyFont="1" applyFill="1" applyAlignment="1" applyProtection="1">
      <alignment horizontal="center"/>
      <protection hidden="1"/>
    </xf>
    <xf numFmtId="0" fontId="19" fillId="5" borderId="11" xfId="0" applyFont="1" applyFill="1" applyBorder="1" applyAlignment="1" applyProtection="1">
      <alignment horizontal="left" vertical="center" wrapText="1"/>
      <protection hidden="1"/>
    </xf>
    <xf numFmtId="0" fontId="19" fillId="5" borderId="1" xfId="0" applyFont="1" applyFill="1" applyBorder="1" applyAlignment="1" applyProtection="1">
      <alignment horizontal="left" vertical="center" wrapText="1"/>
      <protection hidden="1"/>
    </xf>
    <xf numFmtId="0" fontId="26" fillId="2" borderId="2" xfId="0" applyFont="1" applyFill="1" applyBorder="1" applyAlignment="1" applyProtection="1">
      <alignment horizontal="center" vertical="center" wrapText="1"/>
      <protection hidden="1"/>
    </xf>
    <xf numFmtId="0" fontId="26" fillId="2" borderId="3" xfId="0" applyFont="1" applyFill="1" applyBorder="1" applyAlignment="1" applyProtection="1">
      <alignment horizontal="center" vertical="center" wrapText="1"/>
      <protection hidden="1"/>
    </xf>
    <xf numFmtId="0" fontId="65" fillId="5" borderId="11" xfId="0" applyFont="1" applyFill="1" applyBorder="1" applyAlignment="1" applyProtection="1">
      <alignment horizontal="left" vertical="center" wrapText="1"/>
      <protection hidden="1"/>
    </xf>
    <xf numFmtId="0" fontId="65" fillId="5" borderId="1" xfId="0" applyFont="1" applyFill="1" applyBorder="1" applyAlignment="1" applyProtection="1">
      <alignment horizontal="left" vertical="center" wrapText="1"/>
      <protection hidden="1"/>
    </xf>
    <xf numFmtId="0" fontId="26" fillId="2" borderId="34" xfId="0" applyFont="1" applyFill="1" applyBorder="1" applyAlignment="1" applyProtection="1">
      <alignment horizontal="center" vertical="center" wrapText="1"/>
      <protection hidden="1"/>
    </xf>
    <xf numFmtId="0" fontId="25" fillId="2" borderId="25" xfId="0" applyFont="1" applyFill="1" applyBorder="1" applyAlignment="1" applyProtection="1">
      <alignment horizontal="center"/>
      <protection hidden="1"/>
    </xf>
    <xf numFmtId="0" fontId="19" fillId="5" borderId="2" xfId="0" applyFont="1" applyFill="1" applyBorder="1" applyAlignment="1" applyProtection="1">
      <alignment horizontal="left" vertical="center" wrapText="1"/>
      <protection hidden="1"/>
    </xf>
    <xf numFmtId="0" fontId="19" fillId="5" borderId="57" xfId="0" applyFont="1" applyFill="1" applyBorder="1" applyAlignment="1" applyProtection="1">
      <alignment horizontal="left" vertical="center" wrapText="1"/>
      <protection hidden="1"/>
    </xf>
    <xf numFmtId="9" fontId="65" fillId="3" borderId="3" xfId="3" applyFont="1" applyFill="1" applyBorder="1" applyAlignment="1" applyProtection="1">
      <alignment horizontal="left" vertical="center" wrapText="1"/>
      <protection locked="0"/>
    </xf>
    <xf numFmtId="9" fontId="65" fillId="3" borderId="57" xfId="3" applyFont="1" applyFill="1" applyBorder="1" applyAlignment="1" applyProtection="1">
      <alignment horizontal="left" vertical="center" wrapText="1"/>
      <protection locked="0"/>
    </xf>
    <xf numFmtId="0" fontId="65" fillId="3" borderId="8" xfId="0" applyFont="1" applyFill="1" applyBorder="1" applyAlignment="1" applyProtection="1">
      <alignment horizontal="left" vertical="center" wrapText="1"/>
      <protection locked="0"/>
    </xf>
    <xf numFmtId="0" fontId="65" fillId="3" borderId="10" xfId="0" applyFont="1" applyFill="1" applyBorder="1" applyAlignment="1" applyProtection="1">
      <alignment horizontal="left" vertical="center" wrapText="1"/>
      <protection locked="0"/>
    </xf>
    <xf numFmtId="9" fontId="65" fillId="3" borderId="8" xfId="3" applyFont="1" applyFill="1" applyBorder="1" applyAlignment="1" applyProtection="1">
      <alignment horizontal="left" vertical="center" wrapText="1"/>
      <protection locked="0"/>
    </xf>
    <xf numFmtId="9" fontId="65" fillId="3" borderId="10" xfId="3" applyFont="1" applyFill="1" applyBorder="1" applyAlignment="1" applyProtection="1">
      <alignment horizontal="left" vertical="center" wrapText="1"/>
      <protection locked="0"/>
    </xf>
    <xf numFmtId="166" fontId="65" fillId="3" borderId="8" xfId="2" applyNumberFormat="1" applyFont="1" applyFill="1" applyBorder="1" applyAlignment="1" applyProtection="1">
      <alignment horizontal="left" vertical="center" wrapText="1"/>
      <protection locked="0"/>
    </xf>
    <xf numFmtId="166" fontId="65" fillId="3" borderId="10" xfId="2" applyNumberFormat="1" applyFont="1" applyFill="1" applyBorder="1" applyAlignment="1" applyProtection="1">
      <alignment horizontal="left" vertical="center" wrapText="1"/>
      <protection locked="0"/>
    </xf>
    <xf numFmtId="4" fontId="65" fillId="3" borderId="60" xfId="0" applyNumberFormat="1" applyFont="1" applyFill="1" applyBorder="1" applyAlignment="1" applyProtection="1">
      <alignment horizontal="left" vertical="center" wrapText="1"/>
      <protection locked="0"/>
    </xf>
    <xf numFmtId="0" fontId="65" fillId="3" borderId="7" xfId="0" applyFont="1" applyFill="1" applyBorder="1" applyAlignment="1" applyProtection="1">
      <alignment horizontal="left" vertical="center" wrapText="1"/>
      <protection locked="0"/>
    </xf>
    <xf numFmtId="0" fontId="19" fillId="5" borderId="55" xfId="0" applyFont="1" applyFill="1" applyBorder="1" applyAlignment="1" applyProtection="1">
      <alignment horizontal="left" vertical="center" wrapText="1"/>
      <protection hidden="1"/>
    </xf>
    <xf numFmtId="0" fontId="19" fillId="5" borderId="5" xfId="0" applyFont="1" applyFill="1" applyBorder="1" applyAlignment="1" applyProtection="1">
      <alignment horizontal="left" vertical="center" wrapText="1"/>
      <protection hidden="1"/>
    </xf>
    <xf numFmtId="9" fontId="65" fillId="3" borderId="9" xfId="3" applyFont="1" applyFill="1" applyBorder="1" applyAlignment="1" applyProtection="1">
      <alignment horizontal="left" vertical="center" wrapText="1"/>
      <protection locked="0"/>
    </xf>
    <xf numFmtId="4" fontId="65" fillId="3" borderId="8" xfId="0" applyNumberFormat="1" applyFont="1" applyFill="1" applyBorder="1" applyAlignment="1" applyProtection="1">
      <alignment horizontal="left" vertical="center" wrapText="1"/>
      <protection locked="0"/>
    </xf>
    <xf numFmtId="4" fontId="65" fillId="3" borderId="10" xfId="0" applyNumberFormat="1" applyFont="1" applyFill="1" applyBorder="1" applyAlignment="1" applyProtection="1">
      <alignment horizontal="left" vertical="center" wrapText="1"/>
      <protection locked="0"/>
    </xf>
    <xf numFmtId="4" fontId="65" fillId="3" borderId="40" xfId="0" applyNumberFormat="1" applyFont="1" applyFill="1" applyBorder="1" applyAlignment="1" applyProtection="1">
      <alignment horizontal="left" vertical="center" wrapText="1"/>
      <protection locked="0"/>
    </xf>
    <xf numFmtId="4" fontId="65" fillId="3" borderId="21" xfId="0" applyNumberFormat="1" applyFont="1" applyFill="1" applyBorder="1" applyAlignment="1" applyProtection="1">
      <alignment horizontal="left" vertical="center" wrapText="1"/>
      <protection locked="0"/>
    </xf>
    <xf numFmtId="9" fontId="65" fillId="3" borderId="54" xfId="3" applyFont="1" applyFill="1" applyBorder="1" applyAlignment="1" applyProtection="1">
      <alignment horizontal="left" vertical="center" wrapText="1"/>
      <protection locked="0"/>
    </xf>
    <xf numFmtId="9" fontId="65" fillId="3" borderId="21" xfId="3" applyFont="1" applyFill="1" applyBorder="1" applyAlignment="1" applyProtection="1">
      <alignment horizontal="left" vertical="center" wrapText="1"/>
      <protection locked="0"/>
    </xf>
    <xf numFmtId="0" fontId="26" fillId="2" borderId="43" xfId="0" applyFont="1" applyFill="1" applyBorder="1" applyAlignment="1" applyProtection="1">
      <alignment horizontal="center" vertical="center" wrapText="1"/>
      <protection hidden="1"/>
    </xf>
    <xf numFmtId="0" fontId="26" fillId="2" borderId="26" xfId="0" applyFont="1" applyFill="1" applyBorder="1" applyAlignment="1" applyProtection="1">
      <alignment horizontal="center" vertical="center" wrapText="1"/>
      <protection hidden="1"/>
    </xf>
    <xf numFmtId="0" fontId="26" fillId="2" borderId="65" xfId="0" applyFont="1" applyFill="1" applyBorder="1" applyAlignment="1" applyProtection="1">
      <alignment horizontal="center" vertical="center" wrapText="1"/>
      <protection hidden="1"/>
    </xf>
    <xf numFmtId="0" fontId="26" fillId="2" borderId="27" xfId="0" applyFont="1" applyFill="1" applyBorder="1" applyAlignment="1" applyProtection="1">
      <alignment horizontal="center" vertical="center" wrapText="1"/>
      <protection hidden="1"/>
    </xf>
    <xf numFmtId="0" fontId="29" fillId="4" borderId="0" xfId="0" applyFont="1" applyFill="1" applyAlignment="1" applyProtection="1">
      <alignment horizontal="center"/>
      <protection hidden="1"/>
    </xf>
    <xf numFmtId="0" fontId="1" fillId="8" borderId="0" xfId="0" applyFont="1" applyFill="1" applyAlignment="1" applyProtection="1">
      <alignment horizontal="center"/>
      <protection hidden="1"/>
    </xf>
    <xf numFmtId="0" fontId="26" fillId="4" borderId="2" xfId="0" applyFont="1" applyFill="1" applyBorder="1" applyAlignment="1" applyProtection="1">
      <alignment horizontal="center" vertical="center" wrapText="1"/>
      <protection hidden="1"/>
    </xf>
    <xf numFmtId="0" fontId="26" fillId="4" borderId="3" xfId="0" applyFont="1" applyFill="1" applyBorder="1" applyAlignment="1" applyProtection="1">
      <alignment horizontal="center" vertical="center" wrapText="1"/>
      <protection hidden="1"/>
    </xf>
    <xf numFmtId="0" fontId="26" fillId="4" borderId="43" xfId="0" applyFont="1" applyFill="1" applyBorder="1" applyAlignment="1" applyProtection="1">
      <alignment horizontal="center" vertical="center" wrapText="1"/>
      <protection hidden="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3" xfId="0" applyFont="1" applyFill="1" applyBorder="1" applyAlignment="1">
      <alignment horizontal="center" vertical="center" wrapText="1"/>
    </xf>
  </cellXfs>
  <cellStyles count="17">
    <cellStyle name="Comma" xfId="2" builtinId="3"/>
    <cellStyle name="Comma 2" xfId="5" xr:uid="{00000000-0005-0000-0000-000001000000}"/>
    <cellStyle name="Currency 2" xfId="6" xr:uid="{00000000-0005-0000-0000-000002000000}"/>
    <cellStyle name="Hyperlink" xfId="1" builtinId="8"/>
    <cellStyle name="Hyperlink 2" xfId="8" xr:uid="{00000000-0005-0000-0000-000004000000}"/>
    <cellStyle name="Hyperlink 3" xfId="7" xr:uid="{00000000-0005-0000-0000-000005000000}"/>
    <cellStyle name="Normal" xfId="0" builtinId="0"/>
    <cellStyle name="Normal 2" xfId="4" xr:uid="{00000000-0005-0000-0000-000007000000}"/>
    <cellStyle name="Normal 3" xfId="9"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14" xr:uid="{00000000-0005-0000-0000-00000D000000}"/>
    <cellStyle name="Percent" xfId="3" builtinId="5"/>
    <cellStyle name="Percent 2" xfId="16" xr:uid="{00000000-0005-0000-0000-00000F000000}"/>
    <cellStyle name="Percent 3" xfId="15" xr:uid="{00000000-0005-0000-0000-000010000000}"/>
  </cellStyles>
  <dxfs count="37">
    <dxf>
      <font>
        <strike val="0"/>
        <outline val="0"/>
        <shadow val="0"/>
        <u val="none"/>
        <vertAlign val="baseline"/>
        <sz val="11"/>
        <color auto="1"/>
        <name val="Calibri"/>
        <family val="2"/>
      </font>
      <fill>
        <patternFill>
          <fgColor indexed="64"/>
          <bgColor theme="0"/>
        </patternFill>
      </fill>
      <alignment horizontal="general" textRotation="0" wrapText="1" indent="0" justifyLastLine="0" shrinkToFit="0" readingOrder="0"/>
    </dxf>
    <dxf>
      <font>
        <strike val="0"/>
        <outline val="0"/>
        <shadow val="0"/>
        <u val="none"/>
        <vertAlign val="baseline"/>
        <sz val="11"/>
        <color auto="1"/>
        <name val="Calibri"/>
        <family val="2"/>
      </font>
      <fill>
        <patternFill>
          <fgColor indexed="64"/>
          <bgColor theme="0"/>
        </patternFill>
      </fill>
      <alignment horizontal="general" textRotation="0" wrapText="1" indent="0" justifyLastLine="0" shrinkToFit="0" readingOrder="0"/>
    </dxf>
    <dxf>
      <font>
        <strike val="0"/>
        <outline val="0"/>
        <shadow val="0"/>
        <u val="none"/>
        <vertAlign val="baseline"/>
        <sz val="11"/>
        <color auto="1"/>
        <name val="Calibri"/>
        <family val="2"/>
      </font>
      <fill>
        <patternFill>
          <fgColor indexed="64"/>
          <bgColor theme="0"/>
        </patternFill>
      </fill>
      <alignment horizontal="general" textRotation="0" wrapText="1" indent="0" justifyLastLine="0" shrinkToFit="0" readingOrder="0"/>
    </dxf>
    <dxf>
      <font>
        <strike val="0"/>
        <outline val="0"/>
        <shadow val="0"/>
        <u val="none"/>
        <vertAlign val="baseline"/>
        <sz val="11"/>
        <color auto="1"/>
        <name val="Calibri"/>
        <family val="2"/>
      </font>
      <fill>
        <patternFill>
          <fgColor indexed="64"/>
          <bgColor theme="0"/>
        </patternFill>
      </fill>
      <alignment horizontal="general" textRotation="0" wrapText="1" indent="0" justifyLastLine="0" shrinkToFit="0" readingOrder="0"/>
    </dxf>
    <dxf>
      <fill>
        <patternFill>
          <fgColor indexed="64"/>
          <bgColor rgb="FFFFFFFF"/>
        </patternFill>
      </fill>
      <protection locked="1" hidden="1"/>
    </dxf>
    <dxf>
      <fill>
        <patternFill>
          <fgColor indexed="64"/>
          <bgColor rgb="FFFFFFFF"/>
        </patternFill>
      </fill>
    </dxf>
    <dxf>
      <fill>
        <patternFill>
          <fgColor indexed="64"/>
          <bgColor rgb="FFFFFFFF"/>
        </patternFill>
      </fill>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numFmt numFmtId="0" formatCode="General"/>
      <fill>
        <patternFill patternType="none">
          <fgColor indexed="64"/>
          <bgColor indexed="65"/>
        </patternFill>
      </fill>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numFmt numFmtId="0" formatCode="General"/>
      <fill>
        <patternFill patternType="none">
          <fgColor indexed="64"/>
          <bgColor indexed="65"/>
        </patternFill>
      </fill>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indent="0" justifyLastLine="0" shrinkToFit="0" readingOrder="0"/>
      <protection locked="1" hidden="1"/>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numFmt numFmtId="0" formatCode="General"/>
      <fill>
        <patternFill patternType="none">
          <fgColor indexed="64"/>
          <bgColor indexed="65"/>
        </patternFill>
      </fill>
      <protection locked="1" hidden="1"/>
    </dxf>
    <dxf>
      <fill>
        <patternFill patternType="solid">
          <fgColor indexed="64"/>
          <bgColor theme="0"/>
        </patternFill>
      </fill>
    </dxf>
    <dxf>
      <font>
        <strike val="0"/>
        <outline val="0"/>
        <shadow val="0"/>
        <u val="none"/>
        <vertAlign val="baseline"/>
        <sz val="11"/>
        <color auto="1"/>
        <name val="Calibri"/>
        <scheme val="minor"/>
      </font>
      <numFmt numFmtId="0" formatCode="General"/>
      <fill>
        <patternFill patternType="none">
          <fgColor indexed="64"/>
          <bgColor indexed="65"/>
        </patternFill>
      </fill>
    </dxf>
    <dxf>
      <fill>
        <patternFill patternType="solid">
          <fgColor indexed="64"/>
          <bgColor theme="0"/>
        </patternFill>
      </fill>
    </dxf>
    <dxf>
      <font>
        <strike val="0"/>
        <outline val="0"/>
        <shadow val="0"/>
        <u val="none"/>
        <vertAlign val="baseline"/>
        <sz val="11"/>
        <color auto="1"/>
        <name val="Calibri"/>
        <scheme val="minor"/>
      </font>
      <numFmt numFmtId="0" formatCode="General"/>
      <fill>
        <patternFill patternType="none">
          <fgColor indexed="64"/>
          <bgColor indexed="65"/>
        </patternFill>
      </fill>
    </dxf>
    <dxf>
      <fill>
        <patternFill patternType="solid">
          <fgColor indexed="64"/>
          <bgColor theme="0"/>
        </patternFill>
      </fill>
    </dxf>
    <dxf>
      <font>
        <strike val="0"/>
        <outline val="0"/>
        <shadow val="0"/>
        <u val="none"/>
        <vertAlign val="baseline"/>
        <sz val="11"/>
        <color auto="1"/>
        <name val="Calibri"/>
        <scheme val="minor"/>
      </font>
      <numFmt numFmtId="0" formatCode="General"/>
      <fill>
        <patternFill patternType="none">
          <fgColor indexed="64"/>
          <bgColor indexed="65"/>
        </patternFill>
      </fill>
    </dxf>
    <dxf>
      <fill>
        <patternFill patternType="solid">
          <fgColor indexed="64"/>
          <bgColor theme="0"/>
        </patternFill>
      </fill>
    </dxf>
    <dxf>
      <font>
        <b/>
        <strike val="0"/>
        <outline val="0"/>
        <shadow val="0"/>
        <u val="none"/>
        <vertAlign val="baseline"/>
        <sz val="11"/>
        <color auto="1"/>
        <name val="Calibri"/>
        <scheme val="minor"/>
      </font>
      <numFmt numFmtId="0" formatCode="General"/>
      <fill>
        <patternFill patternType="none">
          <fgColor indexed="64"/>
          <bgColor indexed="65"/>
        </patternFill>
      </fill>
      <protection locked="1" hidden="1"/>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fill>
        <patternFill patternType="none">
          <fgColor indexed="64"/>
          <bgColor indexed="65"/>
        </patternFill>
      </fill>
    </dxf>
    <dxf>
      <font>
        <strike val="0"/>
        <outline val="0"/>
        <shadow val="0"/>
        <u val="none"/>
        <vertAlign val="baseline"/>
        <sz val="11"/>
        <color auto="1"/>
        <name val="Calibri"/>
        <scheme val="minor"/>
      </font>
      <fill>
        <patternFill patternType="none">
          <fgColor indexed="64"/>
          <bgColor indexed="65"/>
        </patternFill>
      </fill>
    </dxf>
    <dxf>
      <font>
        <strike val="0"/>
        <outline val="0"/>
        <shadow val="0"/>
        <u val="none"/>
        <vertAlign val="baseline"/>
        <sz val="11"/>
        <color auto="1"/>
        <name val="Calibri"/>
        <scheme val="minor"/>
      </font>
      <fill>
        <patternFill patternType="none">
          <fgColor indexed="64"/>
          <bgColor indexed="65"/>
        </patternFill>
      </fill>
    </dxf>
    <dxf>
      <font>
        <strike val="0"/>
        <outline val="0"/>
        <shadow val="0"/>
        <u val="none"/>
        <vertAlign val="baseline"/>
        <sz val="11"/>
        <color auto="1"/>
        <name val="Calibri"/>
        <scheme val="minor"/>
      </font>
      <fill>
        <patternFill patternType="none">
          <fgColor indexed="64"/>
          <bgColor indexed="65"/>
        </patternFill>
      </fill>
    </dxf>
    <dxf>
      <font>
        <strike val="0"/>
        <outline val="0"/>
        <shadow val="0"/>
        <u val="none"/>
        <vertAlign val="baseline"/>
        <sz val="11"/>
        <color auto="1"/>
        <name val="Calibri"/>
        <scheme val="minor"/>
      </font>
      <fill>
        <patternFill patternType="none">
          <fgColor indexed="64"/>
          <bgColor indexed="65"/>
        </patternFill>
      </fill>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auto="1"/>
        <name val="Calibri"/>
        <scheme val="minor"/>
      </font>
      <fill>
        <patternFill patternType="solid">
          <fgColor indexed="64"/>
          <bgColor theme="0"/>
        </patternFill>
      </fill>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dxf>
  </dxfs>
  <tableStyles count="2" defaultTableStyle="TableStyleMedium2" defaultPivotStyle="PivotStyleLight16">
    <tableStyle name="Table Style 1" pivot="0" count="0" xr9:uid="{00000000-0011-0000-FFFF-FFFF00000000}"/>
    <tableStyle name="Table Style 2" pivot="0" count="0" xr9:uid="{00000000-0011-0000-FFFF-FFFF01000000}"/>
  </tableStyles>
  <colors>
    <mruColors>
      <color rgb="FFB8CCE4"/>
      <color rgb="FFFFFFFF"/>
      <color rgb="FF000000"/>
      <color rgb="FF60AF01"/>
      <color rgb="FF3333FF"/>
      <color rgb="FF2E5400"/>
      <color rgb="FFFFFF99"/>
      <color rgb="FF993300"/>
      <color rgb="FF96EA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t>How did your community do?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Analysis!$B$185</c:f>
              <c:strCache>
                <c:ptCount val="1"/>
                <c:pt idx="0">
                  <c:v>Your community</c:v>
                </c:pt>
              </c:strCache>
            </c:strRef>
          </c:tx>
          <c:spPr>
            <a:solidFill>
              <a:schemeClr val="accent1">
                <a:lumMod val="50000"/>
              </a:schemeClr>
            </a:solidFill>
            <a:ln>
              <a:solidFill>
                <a:schemeClr val="tx2">
                  <a:lumMod val="20000"/>
                  <a:lumOff val="80000"/>
                </a:schemeClr>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Analysis!$A$186:$A$191</c15:sqref>
                  </c15:fullRef>
                </c:ext>
              </c:extLst>
              <c:f>Analysis!$A$186:$A$190</c:f>
              <c:strCache>
                <c:ptCount val="5"/>
                <c:pt idx="0">
                  <c:v>Community-wide</c:v>
                </c:pt>
                <c:pt idx="1">
                  <c:v>Buildings</c:v>
                </c:pt>
                <c:pt idx="2">
                  <c:v>Transportation</c:v>
                </c:pt>
                <c:pt idx="3">
                  <c:v>Utilities</c:v>
                </c:pt>
                <c:pt idx="4">
                  <c:v>Local govt</c:v>
                </c:pt>
              </c:strCache>
            </c:strRef>
          </c:cat>
          <c:val>
            <c:numRef>
              <c:extLst>
                <c:ext xmlns:c15="http://schemas.microsoft.com/office/drawing/2012/chart" uri="{02D57815-91ED-43cb-92C2-25804820EDAC}">
                  <c15:fullRef>
                    <c15:sqref>Analysis!$B$186:$B$191</c15:sqref>
                  </c15:fullRef>
                </c:ext>
              </c:extLst>
              <c:f>Analysis!$B$186:$B$190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CE21-4520-98E9-0BA18F22A56E}"/>
            </c:ext>
          </c:extLst>
        </c:ser>
        <c:ser>
          <c:idx val="1"/>
          <c:order val="1"/>
          <c:tx>
            <c:strRef>
              <c:f>Analysis!$C$185</c:f>
              <c:strCache>
                <c:ptCount val="1"/>
                <c:pt idx="0">
                  <c:v>City Scorecard median</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Analysis!$A$186:$A$191</c15:sqref>
                  </c15:fullRef>
                </c:ext>
              </c:extLst>
              <c:f>Analysis!$A$186:$A$190</c:f>
              <c:strCache>
                <c:ptCount val="5"/>
                <c:pt idx="0">
                  <c:v>Community-wide</c:v>
                </c:pt>
                <c:pt idx="1">
                  <c:v>Buildings</c:v>
                </c:pt>
                <c:pt idx="2">
                  <c:v>Transportation</c:v>
                </c:pt>
                <c:pt idx="3">
                  <c:v>Utilities</c:v>
                </c:pt>
                <c:pt idx="4">
                  <c:v>Local govt</c:v>
                </c:pt>
              </c:strCache>
            </c:strRef>
          </c:cat>
          <c:val>
            <c:numRef>
              <c:extLst>
                <c:ext xmlns:c15="http://schemas.microsoft.com/office/drawing/2012/chart" uri="{02D57815-91ED-43cb-92C2-25804820EDAC}">
                  <c15:fullRef>
                    <c15:sqref>Analysis!$C$186:$C$191</c15:sqref>
                  </c15:fullRef>
                </c:ext>
              </c:extLst>
              <c:f>Analysis!$C$186:$C$190</c:f>
              <c:numCache>
                <c:formatCode>General</c:formatCode>
                <c:ptCount val="5"/>
                <c:pt idx="0">
                  <c:v>3</c:v>
                </c:pt>
                <c:pt idx="1">
                  <c:v>7.5</c:v>
                </c:pt>
                <c:pt idx="2">
                  <c:v>7.5</c:v>
                </c:pt>
                <c:pt idx="3">
                  <c:v>6.5</c:v>
                </c:pt>
                <c:pt idx="4">
                  <c:v>2.5</c:v>
                </c:pt>
              </c:numCache>
            </c:numRef>
          </c:val>
          <c:extLst>
            <c:ext xmlns:c16="http://schemas.microsoft.com/office/drawing/2014/chart" uri="{C3380CC4-5D6E-409C-BE32-E72D297353CC}">
              <c16:uniqueId val="{00000001-CE21-4520-98E9-0BA18F22A56E}"/>
            </c:ext>
          </c:extLst>
        </c:ser>
        <c:dLbls>
          <c:showLegendKey val="0"/>
          <c:showVal val="0"/>
          <c:showCatName val="0"/>
          <c:showSerName val="0"/>
          <c:showPercent val="0"/>
          <c:showBubbleSize val="0"/>
        </c:dLbls>
        <c:gapWidth val="219"/>
        <c:overlap val="-27"/>
        <c:axId val="95667088"/>
        <c:axId val="274481616"/>
      </c:barChart>
      <c:catAx>
        <c:axId val="95667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274481616"/>
        <c:crosses val="autoZero"/>
        <c:auto val="1"/>
        <c:lblAlgn val="ctr"/>
        <c:lblOffset val="100"/>
        <c:noMultiLvlLbl val="0"/>
      </c:catAx>
      <c:valAx>
        <c:axId val="274481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5667088"/>
        <c:crosses val="autoZero"/>
        <c:crossBetween val="between"/>
      </c:valAx>
      <c:spPr>
        <a:noFill/>
        <a:ln>
          <a:noFill/>
        </a:ln>
        <a:effectLst/>
      </c:spPr>
    </c:plotArea>
    <c:legend>
      <c:legendPos val="b"/>
      <c:layout>
        <c:manualLayout>
          <c:xMode val="edge"/>
          <c:yMode val="edge"/>
          <c:x val="0.33268672884736938"/>
          <c:y val="0.93954379721157377"/>
          <c:w val="0.30360137290388139"/>
          <c:h val="4.45989199983435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How did your community do?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'Hidden Sheet'!$B$334</c:f>
              <c:strCache>
                <c:ptCount val="1"/>
                <c:pt idx="0">
                  <c:v>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Sheet'!$A$335:$A$339</c:f>
              <c:strCache>
                <c:ptCount val="5"/>
                <c:pt idx="0">
                  <c:v>Charleston</c:v>
                </c:pt>
                <c:pt idx="1">
                  <c:v>Jacksonville</c:v>
                </c:pt>
                <c:pt idx="2">
                  <c:v>Tampa</c:v>
                </c:pt>
                <c:pt idx="3">
                  <c:v>Henderson</c:v>
                </c:pt>
                <c:pt idx="4">
                  <c:v>Tulsa</c:v>
                </c:pt>
              </c:strCache>
            </c:strRef>
          </c:cat>
          <c:val>
            <c:numRef>
              <c:f>'Hidden Sheet'!$B$335:$B$339</c:f>
              <c:numCache>
                <c:formatCode>General</c:formatCode>
                <c:ptCount val="5"/>
                <c:pt idx="0">
                  <c:v>2</c:v>
                </c:pt>
                <c:pt idx="1">
                  <c:v>0.5</c:v>
                </c:pt>
                <c:pt idx="2">
                  <c:v>0</c:v>
                </c:pt>
                <c:pt idx="3">
                  <c:v>0</c:v>
                </c:pt>
                <c:pt idx="4">
                  <c:v>1</c:v>
                </c:pt>
              </c:numCache>
            </c:numRef>
          </c:val>
          <c:extLst>
            <c:ext xmlns:c16="http://schemas.microsoft.com/office/drawing/2014/chart" uri="{C3380CC4-5D6E-409C-BE32-E72D297353CC}">
              <c16:uniqueId val="{00000000-1406-4715-9D3D-AE634E46426A}"/>
            </c:ext>
          </c:extLst>
        </c:ser>
        <c:ser>
          <c:idx val="1"/>
          <c:order val="1"/>
          <c:tx>
            <c:strRef>
              <c:f>'Hidden Sheet'!$C$334</c:f>
              <c:strCache>
                <c:ptCount val="1"/>
                <c:pt idx="0">
                  <c:v>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'Hidden Sheet'!$A$335:$A$339</c:f>
              <c:strCache>
                <c:ptCount val="5"/>
                <c:pt idx="0">
                  <c:v>Charleston</c:v>
                </c:pt>
                <c:pt idx="1">
                  <c:v>Jacksonville</c:v>
                </c:pt>
                <c:pt idx="2">
                  <c:v>Tampa</c:v>
                </c:pt>
                <c:pt idx="3">
                  <c:v>Henderson</c:v>
                </c:pt>
                <c:pt idx="4">
                  <c:v>Tulsa</c:v>
                </c:pt>
              </c:strCache>
            </c:strRef>
          </c:cat>
          <c:val>
            <c:numRef>
              <c:f>'Hidden Sheet'!$C$335:$C$339</c:f>
              <c:numCache>
                <c:formatCode>General</c:formatCode>
                <c:ptCount val="5"/>
                <c:pt idx="0">
                  <c:v>2</c:v>
                </c:pt>
                <c:pt idx="1">
                  <c:v>1</c:v>
                </c:pt>
                <c:pt idx="2">
                  <c:v>1.5</c:v>
                </c:pt>
                <c:pt idx="3">
                  <c:v>0</c:v>
                </c:pt>
                <c:pt idx="4">
                  <c:v>0.5</c:v>
                </c:pt>
              </c:numCache>
            </c:numRef>
          </c:val>
          <c:extLst>
            <c:ext xmlns:c16="http://schemas.microsoft.com/office/drawing/2014/chart" uri="{C3380CC4-5D6E-409C-BE32-E72D297353CC}">
              <c16:uniqueId val="{00000001-1406-4715-9D3D-AE634E46426A}"/>
            </c:ext>
          </c:extLst>
        </c:ser>
        <c:dLbls>
          <c:showLegendKey val="0"/>
          <c:showVal val="0"/>
          <c:showCatName val="0"/>
          <c:showSerName val="0"/>
          <c:showPercent val="0"/>
          <c:showBubbleSize val="0"/>
        </c:dLbls>
        <c:gapWidth val="219"/>
        <c:overlap val="-27"/>
        <c:axId val="95667088"/>
        <c:axId val="274481616"/>
      </c:barChart>
      <c:catAx>
        <c:axId val="95667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4481616"/>
        <c:crosses val="autoZero"/>
        <c:auto val="1"/>
        <c:lblAlgn val="ctr"/>
        <c:lblOffset val="100"/>
        <c:noMultiLvlLbl val="0"/>
      </c:catAx>
      <c:valAx>
        <c:axId val="274481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67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_xlchart.v1.0</cx:f>
      </cx:numDim>
    </cx:data>
  </cx:chartData>
  <cx:chart>
    <cx:title pos="t" align="ctr" overlay="0">
      <cx:tx>
        <cx:txData>
          <cx:v>Point Distribution</cx:v>
        </cx:txData>
      </cx:tx>
      <cx:txPr>
        <a:bodyPr spcFirstLastPara="1" vertOverflow="ellipsis" wrap="square" lIns="0" tIns="0" rIns="0" bIns="0" anchor="ctr" anchorCtr="1"/>
        <a:lstStyle/>
        <a:p>
          <a:pPr algn="ctr">
            <a:defRPr/>
          </a:pPr>
          <a:r>
            <a:rPr lang="en-US"/>
            <a:t>Point Distribution</a:t>
          </a:r>
        </a:p>
      </cx:txPr>
    </cx:title>
    <cx:plotArea>
      <cx:plotAreaRegion>
        <cx:series layoutId="clusteredColumn" uniqueId="{A9A59C2F-9842-4462-8340-BABAF6ECF2FF}">
          <cx:dataId val="0"/>
          <cx:layoutPr>
            <cx:binning intervalClosed="r">
              <cx:binSize val="5"/>
            </cx:binning>
          </cx:layoutPr>
        </cx:series>
      </cx:plotAreaRegion>
      <cx:axis id="0">
        <cx:catScaling gapWidth="0"/>
        <cx:tickLabels/>
      </cx:axis>
      <cx:axis id="1">
        <cx:valScaling/>
        <cx:majorGridlines/>
        <cx:tickLabels/>
      </cx:axis>
    </cx:plotArea>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aceee.org/" TargetMode="External"/></Relationships>
</file>

<file path=xl/drawings/_rels/drawing9.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https://database.aceee.org/"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https://database.aceee.org/" TargetMode="External"/></Relationships>
</file>

<file path=xl/drawings/_rels/drawing11.xml.rels><?xml version="1.0" encoding="UTF-8" standalone="yes"?>
<Relationships xmlns="http://schemas.openxmlformats.org/package/2006/relationships"><Relationship Id="rId2" Type="http://schemas.openxmlformats.org/officeDocument/2006/relationships/chart" Target="../charts/chart2.xml"/><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2</xdr:col>
      <xdr:colOff>6349</xdr:colOff>
      <xdr:row>9</xdr:row>
      <xdr:rowOff>123826</xdr:rowOff>
    </xdr:from>
    <xdr:to>
      <xdr:col>9</xdr:col>
      <xdr:colOff>158749</xdr:colOff>
      <xdr:row>19</xdr:row>
      <xdr:rowOff>158750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38249" y="1990726"/>
          <a:ext cx="10115550" cy="1876424"/>
        </a:xfrm>
        <a:prstGeom prst="rect">
          <a:avLst/>
        </a:prstGeom>
        <a:solidFill>
          <a:schemeClr val="accent3">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ysClr val="windowText" lastClr="000000"/>
              </a:solidFill>
              <a:effectLst/>
              <a:latin typeface="+mn-lt"/>
              <a:ea typeface="+mn-ea"/>
              <a:cs typeface="+mn-cs"/>
            </a:rPr>
            <a:t>The</a:t>
          </a:r>
          <a:r>
            <a:rPr lang="en-US" sz="1100" i="0">
              <a:solidFill>
                <a:sysClr val="windowText" lastClr="000000"/>
              </a:solidFill>
              <a:effectLst/>
              <a:latin typeface="+mn-lt"/>
              <a:ea typeface="+mn-ea"/>
              <a:cs typeface="+mn-cs"/>
            </a:rPr>
            <a:t> </a:t>
          </a:r>
          <a:r>
            <a:rPr lang="en-US" sz="1100" i="1">
              <a:solidFill>
                <a:sysClr val="windowText" lastClr="000000"/>
              </a:solidFill>
              <a:effectLst/>
              <a:latin typeface="+mn-lt"/>
              <a:ea typeface="+mn-ea"/>
              <a:cs typeface="+mn-cs"/>
            </a:rPr>
            <a:t>2021 City Clean Energy Scorecard </a:t>
          </a:r>
          <a:r>
            <a:rPr lang="en-US" sz="1100" i="0">
              <a:solidFill>
                <a:sysClr val="windowText" lastClr="000000"/>
              </a:solidFill>
              <a:effectLst/>
              <a:latin typeface="+mn-lt"/>
              <a:ea typeface="+mn-ea"/>
              <a:cs typeface="+mn-cs"/>
            </a:rPr>
            <a:t>ranks 100 large U.S. cities on the basis of their policies and leadership in advancing clean</a:t>
          </a:r>
          <a:r>
            <a:rPr lang="en-US" sz="1100" i="0" baseline="0">
              <a:solidFill>
                <a:sysClr val="windowText" lastClr="000000"/>
              </a:solidFill>
              <a:effectLst/>
              <a:latin typeface="+mn-lt"/>
              <a:ea typeface="+mn-ea"/>
              <a:cs typeface="+mn-cs"/>
            </a:rPr>
            <a:t> </a:t>
          </a:r>
          <a:r>
            <a:rPr lang="en-US" sz="1100" i="0">
              <a:solidFill>
                <a:sysClr val="windowText" lastClr="000000"/>
              </a:solidFill>
              <a:effectLst/>
              <a:latin typeface="+mn-lt"/>
              <a:ea typeface="+mn-ea"/>
              <a:cs typeface="+mn-cs"/>
            </a:rPr>
            <a:t>energy. More than 50 metrics in the </a:t>
          </a:r>
          <a:r>
            <a:rPr lang="en-US" sz="1100" i="1">
              <a:solidFill>
                <a:sysClr val="windowText" lastClr="000000"/>
              </a:solidFill>
              <a:effectLst/>
              <a:latin typeface="+mn-lt"/>
              <a:ea typeface="+mn-ea"/>
              <a:cs typeface="+mn-cs"/>
            </a:rPr>
            <a:t>City Scorecard </a:t>
          </a:r>
          <a:r>
            <a:rPr lang="en-US" sz="1100" i="0">
              <a:solidFill>
                <a:sysClr val="windowText" lastClr="000000"/>
              </a:solidFill>
              <a:effectLst/>
              <a:latin typeface="+mn-lt"/>
              <a:ea typeface="+mn-ea"/>
              <a:cs typeface="+mn-cs"/>
            </a:rPr>
            <a:t>evaluate community-wide initiatives, buildings policies,</a:t>
          </a:r>
          <a:r>
            <a:rPr lang="en-US" sz="1100" i="0" baseline="0">
              <a:solidFill>
                <a:sysClr val="windowText" lastClr="000000"/>
              </a:solidFill>
              <a:effectLst/>
              <a:latin typeface="+mn-lt"/>
              <a:ea typeface="+mn-ea"/>
              <a:cs typeface="+mn-cs"/>
            </a:rPr>
            <a:t> transportation policies, energy and water utilities, and local government operations</a:t>
          </a:r>
          <a:r>
            <a:rPr lang="en-US" sz="1100" i="0">
              <a:solidFill>
                <a:sysClr val="windowText" lastClr="000000"/>
              </a:solidFill>
              <a:effectLst/>
              <a:latin typeface="+mn-lt"/>
              <a:ea typeface="+mn-ea"/>
              <a:cs typeface="+mn-cs"/>
            </a:rPr>
            <a:t>. The </a:t>
          </a:r>
          <a:r>
            <a:rPr lang="en-US" sz="1100" i="1">
              <a:solidFill>
                <a:sysClr val="windowText" lastClr="000000"/>
              </a:solidFill>
              <a:effectLst/>
              <a:latin typeface="+mn-lt"/>
              <a:ea typeface="+mn-ea"/>
              <a:cs typeface="+mn-cs"/>
            </a:rPr>
            <a:t>City Scorecard </a:t>
          </a:r>
          <a:r>
            <a:rPr lang="en-US" sz="1100" i="0">
              <a:solidFill>
                <a:sysClr val="windowText" lastClr="000000"/>
              </a:solidFill>
              <a:effectLst/>
              <a:latin typeface="+mn-lt"/>
              <a:ea typeface="+mn-ea"/>
              <a:cs typeface="+mn-cs"/>
            </a:rPr>
            <a:t>applies these metrics to large cities, but the same metrics can be valuable to other communities trying to reduce energy waste</a:t>
          </a:r>
          <a:r>
            <a:rPr lang="en-US" sz="1100" i="0" baseline="0">
              <a:solidFill>
                <a:sysClr val="windowText" lastClr="000000"/>
              </a:solidFill>
              <a:effectLst/>
              <a:latin typeface="+mn-lt"/>
              <a:ea typeface="+mn-ea"/>
              <a:cs typeface="+mn-cs"/>
            </a:rPr>
            <a:t> or increase renewable energy use.</a:t>
          </a:r>
          <a:endParaRPr lang="en-US" sz="1100" i="0">
            <a:solidFill>
              <a:sysClr val="windowText" lastClr="000000"/>
            </a:solidFill>
            <a:effectLst/>
            <a:latin typeface="+mn-lt"/>
            <a:ea typeface="+mn-ea"/>
            <a:cs typeface="+mn-cs"/>
          </a:endParaRPr>
        </a:p>
        <a:p>
          <a:endParaRPr lang="en-US" sz="1100" i="1">
            <a:solidFill>
              <a:sysClr val="windowText" lastClr="000000"/>
            </a:solidFill>
            <a:effectLst/>
            <a:latin typeface="+mn-lt"/>
            <a:ea typeface="+mn-ea"/>
            <a:cs typeface="+mn-cs"/>
          </a:endParaRPr>
        </a:p>
        <a:p>
          <a:r>
            <a:rPr lang="en-US" sz="1100" i="0">
              <a:solidFill>
                <a:sysClr val="windowText" lastClr="000000"/>
              </a:solidFill>
              <a:effectLst/>
              <a:latin typeface="+mn-lt"/>
              <a:ea typeface="+mn-ea"/>
              <a:cs typeface="+mn-cs"/>
            </a:rPr>
            <a:t>With these ideas in mind, we translated the metrics of the</a:t>
          </a:r>
          <a:r>
            <a:rPr lang="en-US" sz="1100" i="1">
              <a:solidFill>
                <a:sysClr val="windowText" lastClr="000000"/>
              </a:solidFill>
              <a:effectLst/>
              <a:latin typeface="+mn-lt"/>
              <a:ea typeface="+mn-ea"/>
              <a:cs typeface="+mn-cs"/>
            </a:rPr>
            <a:t> 2021</a:t>
          </a:r>
          <a:r>
            <a:rPr lang="en-US" sz="1100" i="1" baseline="0">
              <a:solidFill>
                <a:sysClr val="windowText" lastClr="000000"/>
              </a:solidFill>
              <a:effectLst/>
              <a:latin typeface="+mn-lt"/>
              <a:ea typeface="+mn-ea"/>
              <a:cs typeface="+mn-cs"/>
            </a:rPr>
            <a:t> </a:t>
          </a:r>
          <a:r>
            <a:rPr lang="en-US" sz="1100" i="1">
              <a:solidFill>
                <a:sysClr val="windowText" lastClr="000000"/>
              </a:solidFill>
              <a:effectLst/>
              <a:latin typeface="+mn-lt"/>
              <a:ea typeface="+mn-ea"/>
              <a:cs typeface="+mn-cs"/>
            </a:rPr>
            <a:t>City Scorecard </a:t>
          </a:r>
          <a:r>
            <a:rPr lang="en-US" sz="1100" i="0">
              <a:solidFill>
                <a:sysClr val="windowText" lastClr="000000"/>
              </a:solidFill>
              <a:effectLst/>
              <a:latin typeface="+mn-lt"/>
              <a:ea typeface="+mn-ea"/>
              <a:cs typeface="+mn-cs"/>
            </a:rPr>
            <a:t>into the Excel-based Local Clean Energy Self-Scoring Tool, Version 6.0. You can use the tool to benchmark your community’s clean energy efforts across the same policy areas addressed in the </a:t>
          </a:r>
          <a:r>
            <a:rPr lang="en-US" sz="1100" i="1">
              <a:solidFill>
                <a:sysClr val="windowText" lastClr="000000"/>
              </a:solidFill>
              <a:effectLst/>
              <a:latin typeface="+mn-lt"/>
              <a:ea typeface="+mn-ea"/>
              <a:cs typeface="+mn-cs"/>
            </a:rPr>
            <a:t>City Scorecard</a:t>
          </a:r>
          <a:r>
            <a:rPr lang="en-US" sz="1100" i="0">
              <a:solidFill>
                <a:sysClr val="windowText" lastClr="000000"/>
              </a:solidFill>
              <a:effectLst/>
              <a:latin typeface="+mn-lt"/>
              <a:ea typeface="+mn-ea"/>
              <a:cs typeface="+mn-cs"/>
            </a:rPr>
            <a:t>. The Self-Scoring Tool also compares your community’s scores with the median scores from the 100 cities in the </a:t>
          </a:r>
          <a:r>
            <a:rPr lang="en-US" sz="1100" i="1">
              <a:solidFill>
                <a:sysClr val="windowText" lastClr="000000"/>
              </a:solidFill>
              <a:effectLst/>
              <a:latin typeface="+mn-lt"/>
              <a:ea typeface="+mn-ea"/>
              <a:cs typeface="+mn-cs"/>
            </a:rPr>
            <a:t>City Scorecard</a:t>
          </a:r>
          <a:r>
            <a:rPr lang="en-US" sz="1100" i="0">
              <a:solidFill>
                <a:sysClr val="windowText" lastClr="000000"/>
              </a:solidFill>
              <a:effectLst/>
              <a:latin typeface="+mn-lt"/>
              <a:ea typeface="+mn-ea"/>
              <a:cs typeface="+mn-cs"/>
            </a:rPr>
            <a:t>. These comparisons help put your community’s scores into better perspective. You can also measure progress over time by using the tool to reevaluate efforts as the community implements new policies. </a:t>
          </a:r>
        </a:p>
        <a:p>
          <a:endParaRPr lang="en-US" sz="1100" i="1">
            <a:solidFill>
              <a:sysClr val="windowText" lastClr="000000"/>
            </a:solidFill>
            <a:effectLst/>
            <a:latin typeface="+mn-lt"/>
            <a:ea typeface="+mn-ea"/>
            <a:cs typeface="+mn-cs"/>
          </a:endParaRPr>
        </a:p>
        <a:p>
          <a:r>
            <a:rPr lang="en-US" sz="1100" i="0">
              <a:solidFill>
                <a:sysClr val="windowText" lastClr="000000"/>
              </a:solidFill>
              <a:effectLst/>
              <a:latin typeface="+mn-lt"/>
              <a:ea typeface="+mn-ea"/>
              <a:cs typeface="+mn-cs"/>
            </a:rPr>
            <a:t>The tool can inform the energy policy decisions of smaller, more resource-constrained local governments and assist them in prioritizing future investments.</a:t>
          </a:r>
        </a:p>
      </xdr:txBody>
    </xdr:sp>
    <xdr:clientData/>
  </xdr:twoCellAnchor>
  <xdr:twoCellAnchor>
    <xdr:from>
      <xdr:col>2</xdr:col>
      <xdr:colOff>25400</xdr:colOff>
      <xdr:row>24</xdr:row>
      <xdr:rowOff>126998</xdr:rowOff>
    </xdr:from>
    <xdr:to>
      <xdr:col>9</xdr:col>
      <xdr:colOff>139700</xdr:colOff>
      <xdr:row>59</xdr:row>
      <xdr:rowOff>108858</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59114" y="4735284"/>
          <a:ext cx="10083800" cy="6331860"/>
        </a:xfrm>
        <a:prstGeom prst="rect">
          <a:avLst/>
        </a:prstGeom>
        <a:solidFill>
          <a:schemeClr val="accent3">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ysClr val="windowText" lastClr="000000"/>
              </a:solidFill>
              <a:effectLst/>
              <a:latin typeface="+mn-lt"/>
              <a:ea typeface="+mn-ea"/>
              <a:cs typeface="+mn-cs"/>
            </a:rPr>
            <a:t>Instructions</a:t>
          </a:r>
          <a:r>
            <a:rPr lang="en-US" sz="1100">
              <a:solidFill>
                <a:sysClr val="windowText" lastClr="000000"/>
              </a:solidFill>
              <a:effectLst/>
              <a:latin typeface="+mn-lt"/>
              <a:ea typeface="+mn-ea"/>
              <a:cs typeface="+mn-cs"/>
            </a:rPr>
            <a:t>: Before</a:t>
          </a:r>
          <a:r>
            <a:rPr lang="en-US" sz="1100" baseline="0">
              <a:solidFill>
                <a:sysClr val="windowText" lastClr="000000"/>
              </a:solidFill>
              <a:effectLst/>
              <a:latin typeface="+mn-lt"/>
              <a:ea typeface="+mn-ea"/>
              <a:cs typeface="+mn-cs"/>
            </a:rPr>
            <a:t> using </a:t>
          </a:r>
          <a:r>
            <a:rPr lang="en-US" sz="1100" i="0" baseline="0">
              <a:solidFill>
                <a:sysClr val="windowText" lastClr="000000"/>
              </a:solidFill>
              <a:effectLst/>
              <a:latin typeface="+mn-lt"/>
              <a:ea typeface="+mn-ea"/>
              <a:cs typeface="+mn-cs"/>
            </a:rPr>
            <a:t>the Self-Scoring Tool, we </a:t>
          </a:r>
          <a:r>
            <a:rPr lang="en-US" sz="1100" baseline="0">
              <a:solidFill>
                <a:sysClr val="windowText" lastClr="000000"/>
              </a:solidFill>
              <a:effectLst/>
              <a:latin typeface="+mn-lt"/>
              <a:ea typeface="+mn-ea"/>
              <a:cs typeface="+mn-cs"/>
            </a:rPr>
            <a:t>recommend you reference the </a:t>
          </a:r>
          <a:r>
            <a:rPr lang="en-US" sz="1100" i="1" baseline="0">
              <a:solidFill>
                <a:sysClr val="windowText" lastClr="000000"/>
              </a:solidFill>
              <a:effectLst/>
              <a:latin typeface="+mn-lt"/>
              <a:ea typeface="+mn-ea"/>
              <a:cs typeface="+mn-cs"/>
            </a:rPr>
            <a:t>Local Clean Energy Self-Scoring Tool User Guid</a:t>
          </a:r>
          <a:r>
            <a:rPr lang="en-US" sz="1100" b="0" i="1" baseline="0">
              <a:solidFill>
                <a:sysClr val="windowText" lastClr="000000"/>
              </a:solidFill>
              <a:effectLst/>
              <a:latin typeface="+mn-lt"/>
              <a:ea typeface="+mn-ea"/>
              <a:cs typeface="+mn-cs"/>
            </a:rPr>
            <a:t>e </a:t>
          </a:r>
          <a:r>
            <a:rPr lang="en-US" sz="1100" b="0" baseline="0">
              <a:solidFill>
                <a:sysClr val="windowText" lastClr="000000"/>
              </a:solidFill>
              <a:effectLst/>
              <a:latin typeface="+mn-lt"/>
              <a:ea typeface="+mn-ea"/>
              <a:cs typeface="+mn-cs"/>
            </a:rPr>
            <a:t>available at aceee.org/local-policy/city-scorecard.</a:t>
          </a:r>
          <a:endParaRPr lang="en-US" sz="1100" b="1"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The following instructions are a concise guide to </a:t>
          </a:r>
          <a:r>
            <a:rPr lang="en-US" sz="1100" i="0">
              <a:solidFill>
                <a:sysClr val="windowText" lastClr="000000"/>
              </a:solidFill>
              <a:effectLst/>
              <a:latin typeface="+mn-lt"/>
              <a:ea typeface="+mn-ea"/>
              <a:cs typeface="+mn-cs"/>
            </a:rPr>
            <a:t>the Self-Scoring Tool. </a:t>
          </a:r>
        </a:p>
        <a:p>
          <a:endParaRPr lang="en-US" sz="1100">
            <a:solidFill>
              <a:sysClr val="windowText" lastClr="000000"/>
            </a:solidFill>
            <a:effectLst/>
            <a:latin typeface="+mn-lt"/>
            <a:ea typeface="+mn-ea"/>
            <a:cs typeface="+mn-cs"/>
          </a:endParaRPr>
        </a:p>
        <a:p>
          <a:r>
            <a:rPr lang="en-US" sz="1100" b="1">
              <a:solidFill>
                <a:schemeClr val="dk1"/>
              </a:solidFill>
              <a:effectLst/>
              <a:latin typeface="+mn-lt"/>
              <a:ea typeface="+mn-ea"/>
              <a:cs typeface="+mn-cs"/>
            </a:rPr>
            <a:t>Step 1.</a:t>
          </a:r>
          <a:r>
            <a:rPr lang="en-US" sz="1100">
              <a:solidFill>
                <a:schemeClr val="dk1"/>
              </a:solidFill>
              <a:effectLst/>
              <a:latin typeface="+mn-lt"/>
              <a:ea typeface="+mn-ea"/>
              <a:cs typeface="+mn-cs"/>
            </a:rPr>
            <a:t> Read the information in the "Introduction" worksheet and enter the community information requested.</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Step 2. </a:t>
          </a:r>
          <a:r>
            <a:rPr lang="en-US" sz="1100">
              <a:solidFill>
                <a:schemeClr val="dk1"/>
              </a:solidFill>
              <a:effectLst/>
              <a:latin typeface="+mn-lt"/>
              <a:ea typeface="+mn-ea"/>
              <a:cs typeface="+mn-cs"/>
            </a:rPr>
            <a:t>Proceed to the "GHG per capita data" worksheet and input data for all years your city has available. These data will be used to assess your city’s progress toward its GHG goals, if applicable.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Step 3.</a:t>
          </a:r>
          <a:r>
            <a:rPr lang="en-US" sz="1100">
              <a:solidFill>
                <a:schemeClr val="dk1"/>
              </a:solidFill>
              <a:effectLst/>
              <a:latin typeface="+mn-lt"/>
              <a:ea typeface="+mn-ea"/>
              <a:cs typeface="+mn-cs"/>
            </a:rPr>
            <a:t> Proceed to a policy area worksheet (such as Community-wide</a:t>
          </a:r>
          <a:r>
            <a:rPr lang="en-US" sz="1100" baseline="0">
              <a:solidFill>
                <a:schemeClr val="dk1"/>
              </a:solidFill>
              <a:effectLst/>
              <a:latin typeface="+mn-lt"/>
              <a:ea typeface="+mn-ea"/>
              <a:cs typeface="+mn-cs"/>
            </a:rPr>
            <a:t> initiatives</a:t>
          </a:r>
          <a:r>
            <a:rPr lang="en-US" sz="1100">
              <a:solidFill>
                <a:schemeClr val="dk1"/>
              </a:solidFill>
              <a:effectLst/>
              <a:latin typeface="+mn-lt"/>
              <a:ea typeface="+mn-ea"/>
              <a:cs typeface="+mn-cs"/>
            </a:rPr>
            <a:t>) and glance over the metrics and questions in Columns A and B. You can find comments regarding many of the questions in Column B by moving the cursor over a cell.</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Step 4</a:t>
          </a:r>
          <a:r>
            <a:rPr lang="en-US" sz="1100">
              <a:solidFill>
                <a:schemeClr val="dk1"/>
              </a:solidFill>
              <a:effectLst/>
              <a:latin typeface="+mn-lt"/>
              <a:ea typeface="+mn-ea"/>
              <a:cs typeface="+mn-cs"/>
            </a:rPr>
            <a:t>. Return to the top of the worksheet and provide preliminary information. If you do not, scoring errors will occur. Answers provided to preliminary information questions may unlock different questions and scoring paths based on your community’s authority. Other questions may appear as “not applicable” based on these answers.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Step 5. </a:t>
          </a:r>
          <a:r>
            <a:rPr lang="en-US" sz="1100">
              <a:solidFill>
                <a:schemeClr val="dk1"/>
              </a:solidFill>
              <a:effectLst/>
              <a:latin typeface="+mn-lt"/>
              <a:ea typeface="+mn-ea"/>
              <a:cs typeface="+mn-cs"/>
            </a:rPr>
            <a:t>After you provide the preliminary information, respond to the first question posed in Column B by answering it in your own words in the answer column, Column C. Before providing your answer, please note:</a:t>
          </a:r>
        </a:p>
        <a:p>
          <a:endParaRPr lang="en-US"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It is important to complete this column fully by recording the pertinent policy or program names, local government ordinances, or other information. These data will allow us to verify that you scored your community correctly.</a:t>
          </a:r>
        </a:p>
        <a:p>
          <a:pPr marL="171450" lvl="0" indent="-171450">
            <a:buFont typeface="Arial" panose="020B0604020202020204" pitchFamily="34" charset="0"/>
            <a:buChar char="•"/>
          </a:pPr>
          <a:r>
            <a:rPr lang="en-US" sz="1100">
              <a:solidFill>
                <a:schemeClr val="dk1"/>
              </a:solidFill>
              <a:effectLst/>
              <a:latin typeface="+mn-lt"/>
              <a:ea typeface="+mn-ea"/>
              <a:cs typeface="+mn-cs"/>
            </a:rPr>
            <a:t>We recommend that you review the scoring criteria found on the drop-down menus in Column D before answering questions to understand how the questions relate to the methodology.</a:t>
          </a:r>
        </a:p>
        <a:p>
          <a:pPr marL="171450" lvl="0" indent="-171450">
            <a:buFont typeface="Arial" panose="020B0604020202020204" pitchFamily="34" charset="0"/>
            <a:buChar char="•"/>
          </a:pPr>
          <a:r>
            <a:rPr lang="en-US">
              <a:effectLst/>
            </a:rPr>
            <a:t>If you do not have the data to answer a question, see Column F for a recommended data source. </a:t>
          </a:r>
          <a:endParaRPr lang="en-US" sz="1100">
            <a:solidFill>
              <a:schemeClr val="dk1"/>
            </a:solidFill>
            <a:effectLst/>
            <a:latin typeface="+mn-lt"/>
            <a:ea typeface="+mn-ea"/>
            <a:cs typeface="+mn-cs"/>
          </a:endParaRPr>
        </a:p>
        <a:p>
          <a:pPr marL="171450" indent="-171450">
            <a:buFont typeface="Arial" panose="020B0604020202020204" pitchFamily="34" charset="0"/>
            <a:buChar char="•"/>
          </a:pPr>
          <a:r>
            <a:rPr lang="en-US">
              <a:effectLst/>
            </a:rPr>
            <a:t>Write your community’s response in cells that are </a:t>
          </a:r>
          <a:r>
            <a:rPr lang="en-US" b="1">
              <a:effectLst/>
            </a:rPr>
            <a:t>light blue.</a:t>
          </a:r>
          <a:r>
            <a:rPr lang="en-US">
              <a:effectLst/>
            </a:rPr>
            <a:t> Cells in Column C that are </a:t>
          </a:r>
          <a:r>
            <a:rPr lang="en-US" b="1">
              <a:effectLst/>
            </a:rPr>
            <a:t>darker blue </a:t>
          </a:r>
          <a:r>
            <a:rPr lang="en-US">
              <a:effectLst/>
            </a:rPr>
            <a:t>are locked. In these cases, the cell values will be filled in automatically from information you previously provided. </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Step 6.</a:t>
          </a:r>
          <a:r>
            <a:rPr lang="en-US" sz="1100">
              <a:solidFill>
                <a:schemeClr val="dk1"/>
              </a:solidFill>
              <a:effectLst/>
              <a:latin typeface="+mn-lt"/>
              <a:ea typeface="+mn-ea"/>
              <a:cs typeface="+mn-cs"/>
            </a:rPr>
            <a:t> After answering a question in Column C, select a scoring criterion from the drop-down menu in Column D that best fits your answer in Column C. Once you select the scoring criterion, Column E will display the score.</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Step 7.</a:t>
          </a:r>
          <a:r>
            <a:rPr lang="en-US" sz="1100">
              <a:solidFill>
                <a:schemeClr val="dk1"/>
              </a:solidFill>
              <a:effectLst/>
              <a:latin typeface="+mn-lt"/>
              <a:ea typeface="+mn-ea"/>
              <a:cs typeface="+mn-cs"/>
            </a:rPr>
            <a:t> After working through the questions in one policy area worksheet, go to the next worksheet and complete it in the same way, as outlined in steps 3 through 6. Repeat this until you have completed all policy area worksheets.</a:t>
          </a:r>
        </a:p>
        <a:p>
          <a:r>
            <a:rPr lang="en-US" sz="1100" i="1">
              <a:solidFill>
                <a:schemeClr val="dk1"/>
              </a:solidFill>
              <a:effectLst/>
              <a:latin typeface="+mn-lt"/>
              <a:ea typeface="+mn-ea"/>
              <a:cs typeface="+mn-cs"/>
            </a:rPr>
            <a:t>It is important to answer all the questions on each policy area worksheet. This is the only way to get a comprehensive assessment and benchmark clean energy efforts.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Step 8. </a:t>
          </a:r>
          <a:r>
            <a:rPr lang="en-US" sz="1100">
              <a:solidFill>
                <a:schemeClr val="dk1"/>
              </a:solidFill>
              <a:effectLst/>
              <a:latin typeface="+mn-lt"/>
              <a:ea typeface="+mn-ea"/>
              <a:cs typeface="+mn-cs"/>
            </a:rPr>
            <a:t>After you complete your community’s evaluation, go to the Analysis worksheet to review the results and see a comparison of your community’s score with median scores from the </a:t>
          </a:r>
          <a:r>
            <a:rPr lang="en-US" sz="1100" i="1">
              <a:solidFill>
                <a:schemeClr val="dk1"/>
              </a:solidFill>
              <a:effectLst/>
              <a:latin typeface="+mn-lt"/>
              <a:ea typeface="+mn-ea"/>
              <a:cs typeface="+mn-cs"/>
            </a:rPr>
            <a:t>2021 City Scorecard</a:t>
          </a:r>
          <a:r>
            <a:rPr lang="en-US" sz="1100">
              <a:solidFill>
                <a:schemeClr val="dk1"/>
              </a:solidFill>
              <a:effectLst/>
              <a:latin typeface="+mn-lt"/>
              <a:ea typeface="+mn-ea"/>
              <a:cs typeface="+mn-cs"/>
            </a:rPr>
            <a:t>.</a:t>
          </a:r>
          <a:endParaRPr lang="en-US" sz="1100">
            <a:solidFill>
              <a:sysClr val="windowText" lastClr="000000"/>
            </a:solidFill>
          </a:endParaRPr>
        </a:p>
      </xdr:txBody>
    </xdr:sp>
    <xdr:clientData/>
  </xdr:twoCellAnchor>
  <xdr:twoCellAnchor editAs="oneCell">
    <xdr:from>
      <xdr:col>1</xdr:col>
      <xdr:colOff>199763</xdr:colOff>
      <xdr:row>0</xdr:row>
      <xdr:rowOff>129648</xdr:rowOff>
    </xdr:from>
    <xdr:to>
      <xdr:col>5</xdr:col>
      <xdr:colOff>793926</xdr:colOff>
      <xdr:row>7</xdr:row>
      <xdr:rowOff>30163</xdr:rowOff>
    </xdr:to>
    <xdr:pic>
      <xdr:nvPicPr>
        <xdr:cNvPr id="4" name="Picture 1">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6982" y="129648"/>
          <a:ext cx="5425895" cy="1144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10583</xdr:colOff>
      <xdr:row>0</xdr:row>
      <xdr:rowOff>261410</xdr:rowOff>
    </xdr:from>
    <xdr:to>
      <xdr:col>7</xdr:col>
      <xdr:colOff>1</xdr:colOff>
      <xdr:row>6</xdr:row>
      <xdr:rowOff>352778</xdr:rowOff>
    </xdr:to>
    <xdr:sp macro="" textlink="">
      <xdr:nvSpPr>
        <xdr:cNvPr id="4" name="TextBox 1">
          <a:extLst>
            <a:ext uri="{FF2B5EF4-FFF2-40B4-BE49-F238E27FC236}">
              <a16:creationId xmlns:a16="http://schemas.microsoft.com/office/drawing/2014/main" id="{3C05BDEE-735A-46B4-9AE9-094D60BCE22A}"/>
            </a:ext>
          </a:extLst>
        </xdr:cNvPr>
        <xdr:cNvSpPr txBox="1"/>
      </xdr:nvSpPr>
      <xdr:spPr>
        <a:xfrm>
          <a:off x="350532" y="261410"/>
          <a:ext cx="12381540" cy="2034853"/>
        </a:xfrm>
        <a:prstGeom prst="rect">
          <a:avLst/>
        </a:prstGeom>
        <a:solidFill>
          <a:schemeClr val="accent3">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a:solidFill>
                <a:sysClr val="windowText" lastClr="000000"/>
              </a:solidFill>
              <a:effectLst/>
              <a:latin typeface="+mn-lt"/>
              <a:ea typeface="+mn-ea"/>
              <a:cs typeface="+mn-cs"/>
            </a:rPr>
            <a:t>Metric categorization</a:t>
          </a:r>
        </a:p>
        <a:p>
          <a:r>
            <a:rPr lang="en-US" sz="1100" i="0">
              <a:solidFill>
                <a:sysClr val="windowText" lastClr="000000"/>
              </a:solidFill>
              <a:effectLst/>
              <a:latin typeface="+mn-lt"/>
              <a:ea typeface="+mn-ea"/>
              <a:cs typeface="+mn-cs"/>
            </a:rPr>
            <a:t>The</a:t>
          </a:r>
          <a:r>
            <a:rPr lang="en-US" sz="1100" i="0" baseline="0">
              <a:solidFill>
                <a:sysClr val="windowText" lastClr="000000"/>
              </a:solidFill>
              <a:effectLst/>
              <a:latin typeface="+mn-lt"/>
              <a:ea typeface="+mn-ea"/>
              <a:cs typeface="+mn-cs"/>
            </a:rPr>
            <a:t> table below categorizes each metric on the basis of the following factors:</a:t>
          </a:r>
        </a:p>
        <a:p>
          <a:r>
            <a:rPr lang="en-US" sz="1100" b="1" i="0" u="none" strike="noStrike" baseline="0">
              <a:solidFill>
                <a:schemeClr val="dk1"/>
              </a:solidFill>
              <a:latin typeface="+mn-lt"/>
              <a:ea typeface="+mn-ea"/>
              <a:cs typeface="+mn-cs"/>
            </a:rPr>
            <a:t>• </a:t>
          </a:r>
          <a:r>
            <a:rPr lang="en-US" sz="1100" b="0" i="0" u="none" strike="noStrike" baseline="0">
              <a:solidFill>
                <a:schemeClr val="dk1"/>
              </a:solidFill>
              <a:latin typeface="+mn-lt"/>
              <a:ea typeface="+mn-ea"/>
              <a:cs typeface="+mn-cs"/>
            </a:rPr>
            <a:t>Does a clean energy action relate to equity in planning and program delivery?</a:t>
          </a:r>
        </a:p>
        <a:p>
          <a:r>
            <a:rPr lang="en-US" sz="1100" b="1" i="0" u="none" strike="noStrike" baseline="0">
              <a:solidFill>
                <a:schemeClr val="dk1"/>
              </a:solidFill>
              <a:latin typeface="+mn-lt"/>
              <a:ea typeface="+mn-ea"/>
              <a:cs typeface="+mn-cs"/>
            </a:rPr>
            <a:t>• </a:t>
          </a:r>
          <a:r>
            <a:rPr lang="en-US" sz="1100" b="0" i="0" u="none" strike="noStrike" baseline="0">
              <a:solidFill>
                <a:schemeClr val="dk1"/>
              </a:solidFill>
              <a:latin typeface="+mn-lt"/>
              <a:ea typeface="+mn-ea"/>
              <a:cs typeface="+mn-cs"/>
            </a:rPr>
            <a:t>Does it assess policy or program performance?</a:t>
          </a:r>
        </a:p>
        <a:p>
          <a:r>
            <a:rPr lang="en-US" sz="1100" b="1" i="0" u="none" strike="noStrike" baseline="0">
              <a:solidFill>
                <a:schemeClr val="dk1"/>
              </a:solidFill>
              <a:latin typeface="+mn-lt"/>
              <a:ea typeface="+mn-ea"/>
              <a:cs typeface="+mn-cs"/>
            </a:rPr>
            <a:t>• </a:t>
          </a:r>
          <a:r>
            <a:rPr lang="en-US" sz="1100" b="0" i="0" u="none" strike="noStrike" baseline="0">
              <a:solidFill>
                <a:schemeClr val="dk1"/>
              </a:solidFill>
              <a:latin typeface="+mn-lt"/>
              <a:ea typeface="+mn-ea"/>
              <a:cs typeface="+mn-cs"/>
            </a:rPr>
            <a:t>Does it assess a smart growth policy or program?</a:t>
          </a:r>
          <a:endParaRPr lang="en-US" sz="1100" i="0" baseline="0">
            <a:solidFill>
              <a:sysClr val="windowText" lastClr="000000"/>
            </a:solidFill>
            <a:effectLst/>
            <a:latin typeface="+mn-lt"/>
            <a:ea typeface="+mn-ea"/>
            <a:cs typeface="+mn-cs"/>
          </a:endParaRPr>
        </a:p>
        <a:p>
          <a:endParaRPr lang="en-US" sz="1100" i="0" baseline="0">
            <a:solidFill>
              <a:sysClr val="windowText" lastClr="000000"/>
            </a:solidFill>
            <a:effectLst/>
            <a:latin typeface="+mn-lt"/>
            <a:ea typeface="+mn-ea"/>
            <a:cs typeface="+mn-cs"/>
          </a:endParaRPr>
        </a:p>
        <a:p>
          <a:r>
            <a:rPr lang="en-US" sz="1100" b="1" i="0" u="sng" baseline="0">
              <a:solidFill>
                <a:sysClr val="windowText" lastClr="000000"/>
              </a:solidFill>
              <a:effectLst/>
              <a:latin typeface="+mn-lt"/>
              <a:ea typeface="+mn-ea"/>
              <a:cs typeface="+mn-cs"/>
            </a:rPr>
            <a:t>Definitions</a:t>
          </a:r>
        </a:p>
        <a:p>
          <a:r>
            <a:rPr lang="en-US" sz="1100" b="0" i="1" u="none" strike="noStrike" baseline="0">
              <a:solidFill>
                <a:schemeClr val="dk1"/>
              </a:solidFill>
              <a:latin typeface="+mn-lt"/>
              <a:ea typeface="+mn-ea"/>
              <a:cs typeface="+mn-cs"/>
            </a:rPr>
            <a:t>Equity-focused:</a:t>
          </a:r>
          <a:r>
            <a:rPr lang="en-US" sz="1100" b="0" i="0" u="none" strike="noStrike" baseline="0">
              <a:solidFill>
                <a:schemeClr val="dk1"/>
              </a:solidFill>
              <a:latin typeface="+mn-lt"/>
              <a:ea typeface="+mn-ea"/>
              <a:cs typeface="+mn-cs"/>
            </a:rPr>
            <a:t> The extent to which city actions engage with or invest in historically marginalized communities, often communities of color and low-income communities.</a:t>
          </a:r>
        </a:p>
        <a:p>
          <a:r>
            <a:rPr lang="en-US" sz="1100" b="0" i="1" u="none" strike="noStrike" baseline="0">
              <a:solidFill>
                <a:schemeClr val="dk1"/>
              </a:solidFill>
              <a:latin typeface="+mn-lt"/>
              <a:ea typeface="+mn-ea"/>
              <a:cs typeface="+mn-cs"/>
            </a:rPr>
            <a:t>Performance:</a:t>
          </a:r>
          <a:r>
            <a:rPr lang="en-US" sz="1100" b="0" i="0" u="none" strike="noStrike" baseline="0">
              <a:solidFill>
                <a:schemeClr val="dk1"/>
              </a:solidFill>
              <a:latin typeface="+mn-lt"/>
              <a:ea typeface="+mn-ea"/>
              <a:cs typeface="+mn-cs"/>
            </a:rPr>
            <a:t> The results or progress of an adopted city policy, program, or plan.</a:t>
          </a:r>
        </a:p>
        <a:p>
          <a:r>
            <a:rPr lang="en-US" sz="1100" b="0" i="1" u="none" strike="noStrike" baseline="0">
              <a:solidFill>
                <a:schemeClr val="dk1"/>
              </a:solidFill>
              <a:latin typeface="+mn-lt"/>
              <a:ea typeface="+mn-ea"/>
              <a:cs typeface="+mn-cs"/>
            </a:rPr>
            <a:t>Smart growth</a:t>
          </a:r>
          <a:r>
            <a:rPr lang="en-US" sz="1100" b="0" i="0" u="none" strike="noStrike" baseline="0">
              <a:solidFill>
                <a:schemeClr val="dk1"/>
              </a:solidFill>
              <a:latin typeface="+mn-lt"/>
              <a:ea typeface="+mn-ea"/>
              <a:cs typeface="+mn-cs"/>
            </a:rPr>
            <a:t>: Policy or activity that promotes compact development with transportation options, reuse of existing buildings and infrastructure, community engagement, and green space integrated into streets and neighborhoods.</a:t>
          </a:r>
          <a:endParaRPr lang="en-US" sz="1100" i="0">
            <a:solidFill>
              <a:schemeClr val="dk1"/>
            </a:solidFill>
            <a:effectLst/>
            <a:latin typeface="+mn-lt"/>
            <a:ea typeface="+mn-ea"/>
            <a:cs typeface="+mn-cs"/>
          </a:endParaRPr>
        </a:p>
      </xdr:txBody>
    </xdr:sp>
    <xdr:clientData/>
  </xdr:twoCellAnchor>
  <xdr:twoCellAnchor>
    <xdr:from>
      <xdr:col>2</xdr:col>
      <xdr:colOff>9072</xdr:colOff>
      <xdr:row>105</xdr:row>
      <xdr:rowOff>36285</xdr:rowOff>
    </xdr:from>
    <xdr:to>
      <xdr:col>6</xdr:col>
      <xdr:colOff>1867204</xdr:colOff>
      <xdr:row>111</xdr:row>
      <xdr:rowOff>45357</xdr:rowOff>
    </xdr:to>
    <xdr:sp macro="" textlink="">
      <xdr:nvSpPr>
        <xdr:cNvPr id="3" name="TextBox 1">
          <a:extLst>
            <a:ext uri="{FF2B5EF4-FFF2-40B4-BE49-F238E27FC236}">
              <a16:creationId xmlns:a16="http://schemas.microsoft.com/office/drawing/2014/main" id="{D54D0338-0851-4123-9A5B-9E8270501419}"/>
            </a:ext>
          </a:extLst>
        </xdr:cNvPr>
        <xdr:cNvSpPr txBox="1"/>
      </xdr:nvSpPr>
      <xdr:spPr>
        <a:xfrm>
          <a:off x="344715" y="23631071"/>
          <a:ext cx="12399132" cy="1097643"/>
        </a:xfrm>
        <a:prstGeom prst="rect">
          <a:avLst/>
        </a:prstGeom>
        <a:solidFill>
          <a:schemeClr val="accent3">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a:solidFill>
                <a:sysClr val="windowText" lastClr="000000"/>
              </a:solidFill>
              <a:effectLst/>
              <a:latin typeface="+mn-lt"/>
              <a:ea typeface="+mn-ea"/>
              <a:cs typeface="+mn-cs"/>
            </a:rPr>
            <a:t>*Cities could receive a maximum of 15 points for actions designed to address energy use in existing buildings. Of these points, 3 were reserved for equity-focused actions and the remaining 12 were allocated to actions that are not equity focused. </a:t>
          </a:r>
        </a:p>
        <a:p>
          <a:r>
            <a:rPr lang="en-US" sz="1100" b="0" i="0" u="none">
              <a:solidFill>
                <a:sysClr val="windowText" lastClr="000000"/>
              </a:solidFill>
              <a:effectLst/>
              <a:latin typeface="+mn-lt"/>
              <a:ea typeface="+mn-ea"/>
              <a:cs typeface="+mn-cs"/>
            </a:rPr>
            <a:t>**We categorize only one component of our utility low-income energy efficiency metric as smart growth—offering a portfolio of low-income energy efficiency programs with at least one comprehensive program. We include this because it tracks programs that are inherently designed to incentivize comprehensive whole-building energy improvements for existing homes. We do not include the utility multifamily energy efficiency program metric because it awards points to some programs that do not make whole-building improvements.</a:t>
          </a:r>
          <a:endParaRPr lang="en-US" sz="1100" b="0" i="0" u="none">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3175</xdr:colOff>
      <xdr:row>0</xdr:row>
      <xdr:rowOff>136525</xdr:rowOff>
    </xdr:from>
    <xdr:to>
      <xdr:col>15</xdr:col>
      <xdr:colOff>304800</xdr:colOff>
      <xdr:row>0</xdr:row>
      <xdr:rowOff>1295400</xdr:rowOff>
    </xdr:to>
    <xdr:sp macro="" textlink="">
      <xdr:nvSpPr>
        <xdr:cNvPr id="3" name="TextBox 2">
          <a:extLst>
            <a:ext uri="{FF2B5EF4-FFF2-40B4-BE49-F238E27FC236}">
              <a16:creationId xmlns:a16="http://schemas.microsoft.com/office/drawing/2014/main" id="{D4281EAE-FCE6-4924-998B-B6F1D631E648}"/>
            </a:ext>
          </a:extLst>
        </xdr:cNvPr>
        <xdr:cNvSpPr txBox="1"/>
      </xdr:nvSpPr>
      <xdr:spPr>
        <a:xfrm>
          <a:off x="174625" y="136525"/>
          <a:ext cx="9934575" cy="1158875"/>
        </a:xfrm>
        <a:prstGeom prst="rect">
          <a:avLst/>
        </a:prstGeom>
        <a:solidFill>
          <a:schemeClr val="accent3">
            <a:lumMod val="60000"/>
            <a:lumOff val="40000"/>
          </a:scheme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panose="020F0502020204030204"/>
              <a:ea typeface="+mn-ea"/>
              <a:cs typeface="+mn-cs"/>
            </a:rPr>
            <a:t>GHG per capita data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Input GHG per capita data for all years your city has available. The</a:t>
          </a:r>
          <a:r>
            <a:rPr lang="en-US" sz="1100">
              <a:solidFill>
                <a:sysClr val="windowText" lastClr="000000"/>
              </a:solidFill>
              <a:effectLst/>
              <a:latin typeface="+mn-lt"/>
              <a:ea typeface="+mn-ea"/>
              <a:cs typeface="+mn-cs"/>
            </a:rPr>
            <a:t> first row is reserved for local government GHG emissions per capita (emissions due to the activities of local government operations). The second row is for community-wide GHG emissions per capita (emissions due to activities across the city or community).</a:t>
          </a:r>
          <a:r>
            <a:rPr lang="en-US" sz="1100" baseline="0">
              <a:solidFill>
                <a:sysClr val="windowText" lastClr="000000"/>
              </a:solidFill>
              <a:effectLst/>
              <a:latin typeface="+mn-lt"/>
              <a:ea typeface="+mn-ea"/>
              <a:cs typeface="+mn-cs"/>
            </a:rPr>
            <a:t> The third row is for transportation-related emissions or vehicle miles traveled in your community.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These data are used to assess your city's progress toward its GHG goals. For year-to-year population data, we recommend using the Census Bureau's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American Community Survey One-Year Estimates</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t>
          </a:r>
          <a:r>
            <a:rPr lang="en-US" sz="1100" i="0">
              <a:effectLst/>
              <a:latin typeface="+mn-lt"/>
              <a:ea typeface="+mn-ea"/>
              <a:cs typeface="+mn-cs"/>
            </a:rPr>
            <a:t>data.census.gov</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lang="en-US" sz="1100">
              <a:solidFill>
                <a:sysClr val="windowText" lastClr="000000"/>
              </a:solidFill>
              <a:effectLst/>
              <a:latin typeface="+mn-lt"/>
              <a:ea typeface="+mn-ea"/>
              <a:cs typeface="+mn-cs"/>
            </a:rPr>
            <a:t>If your community does not have a GHG goal, please move onto</a:t>
          </a:r>
          <a:r>
            <a:rPr lang="en-US" sz="1100" baseline="0">
              <a:solidFill>
                <a:sysClr val="windowText" lastClr="000000"/>
              </a:solidFill>
              <a:effectLst/>
              <a:latin typeface="+mn-lt"/>
              <a:ea typeface="+mn-ea"/>
              <a:cs typeface="+mn-cs"/>
            </a:rPr>
            <a:t> policy area worksheets.</a:t>
          </a: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328159</xdr:colOff>
      <xdr:row>8</xdr:row>
      <xdr:rowOff>11000</xdr:rowOff>
    </xdr:from>
    <xdr:to>
      <xdr:col>0</xdr:col>
      <xdr:colOff>2974068</xdr:colOff>
      <xdr:row>12</xdr:row>
      <xdr:rowOff>833437</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28159" y="2622438"/>
          <a:ext cx="2645909" cy="3044937"/>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i="0" u="none">
              <a:solidFill>
                <a:schemeClr val="dk1"/>
              </a:solidFill>
              <a:effectLst/>
              <a:latin typeface="+mn-lt"/>
              <a:ea typeface="+mn-ea"/>
              <a:cs typeface="+mn-cs"/>
            </a:rPr>
            <a:t>Note: </a:t>
          </a:r>
          <a:r>
            <a:rPr lang="en-US" sz="1400" b="0">
              <a:solidFill>
                <a:schemeClr val="dk1"/>
              </a:solidFill>
              <a:effectLst/>
              <a:latin typeface="+mn-lt"/>
              <a:ea typeface="+mn-ea"/>
              <a:cs typeface="+mn-cs"/>
            </a:rPr>
            <a:t>You</a:t>
          </a:r>
          <a:r>
            <a:rPr lang="en-US" sz="1400" b="0" baseline="0">
              <a:solidFill>
                <a:schemeClr val="dk1"/>
              </a:solidFill>
              <a:effectLst/>
              <a:latin typeface="+mn-lt"/>
              <a:ea typeface="+mn-ea"/>
              <a:cs typeface="+mn-cs"/>
            </a:rPr>
            <a:t> must answer t</a:t>
          </a:r>
          <a:r>
            <a:rPr lang="en-US" sz="1400">
              <a:solidFill>
                <a:schemeClr val="dk1"/>
              </a:solidFill>
              <a:effectLst/>
              <a:latin typeface="+mn-lt"/>
              <a:ea typeface="+mn-ea"/>
              <a:cs typeface="+mn-cs"/>
            </a:rPr>
            <a:t>he preliminary</a:t>
          </a:r>
          <a:r>
            <a:rPr lang="en-US" sz="1400" baseline="0">
              <a:solidFill>
                <a:schemeClr val="dk1"/>
              </a:solidFill>
              <a:effectLst/>
              <a:latin typeface="+mn-lt"/>
              <a:ea typeface="+mn-ea"/>
              <a:cs typeface="+mn-cs"/>
            </a:rPr>
            <a:t> information </a:t>
          </a:r>
          <a:r>
            <a:rPr lang="en-US" sz="1400">
              <a:solidFill>
                <a:schemeClr val="dk1"/>
              </a:solidFill>
              <a:effectLst/>
              <a:latin typeface="+mn-lt"/>
              <a:ea typeface="+mn-ea"/>
              <a:cs typeface="+mn-cs"/>
            </a:rPr>
            <a:t>questions </a:t>
          </a:r>
          <a:r>
            <a:rPr lang="en-US" sz="1400" b="0">
              <a:solidFill>
                <a:schemeClr val="dk1"/>
              </a:solidFill>
              <a:effectLst/>
              <a:latin typeface="+mn-lt"/>
              <a:ea typeface="+mn-ea"/>
              <a:cs typeface="+mn-cs"/>
            </a:rPr>
            <a:t>before</a:t>
          </a:r>
          <a:r>
            <a:rPr lang="en-US" sz="1400">
              <a:solidFill>
                <a:schemeClr val="dk1"/>
              </a:solidFill>
              <a:effectLst/>
              <a:latin typeface="+mn-lt"/>
              <a:ea typeface="+mn-ea"/>
              <a:cs typeface="+mn-cs"/>
            </a:rPr>
            <a:t> moving on to questions about energy</a:t>
          </a:r>
          <a:r>
            <a:rPr lang="en-US" sz="1400" baseline="0">
              <a:solidFill>
                <a:schemeClr val="dk1"/>
              </a:solidFill>
              <a:effectLst/>
              <a:latin typeface="+mn-lt"/>
              <a:ea typeface="+mn-ea"/>
              <a:cs typeface="+mn-cs"/>
            </a:rPr>
            <a:t> efficiency goals and greenhouse gas reduction goals. The data entered will be used to calculate your goal's stringency and progress toward that goal. </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If you have any questions, please contact us at cityscorecard@aceee.org.</a:t>
          </a: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376200</xdr:colOff>
      <xdr:row>7</xdr:row>
      <xdr:rowOff>289945</xdr:rowOff>
    </xdr:from>
    <xdr:to>
      <xdr:col>0</xdr:col>
      <xdr:colOff>3000375</xdr:colOff>
      <xdr:row>11</xdr:row>
      <xdr:rowOff>252148</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76200" y="3195070"/>
          <a:ext cx="2624175" cy="2748266"/>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none">
              <a:solidFill>
                <a:schemeClr val="tx1"/>
              </a:solidFill>
              <a:effectLst/>
              <a:latin typeface="+mn-lt"/>
              <a:ea typeface="+mn-ea"/>
              <a:cs typeface="+mn-cs"/>
            </a:rPr>
            <a:t>Note: </a:t>
          </a:r>
          <a:r>
            <a:rPr lang="en-US" sz="1400" b="0" u="none">
              <a:solidFill>
                <a:schemeClr val="tx1"/>
              </a:solidFill>
              <a:effectLst/>
              <a:latin typeface="+mn-lt"/>
              <a:ea typeface="+mn-ea"/>
              <a:cs typeface="+mn-cs"/>
            </a:rPr>
            <a:t>You</a:t>
          </a:r>
          <a:r>
            <a:rPr lang="en-US" sz="1400" b="0" u="none" baseline="0">
              <a:solidFill>
                <a:schemeClr val="tx1"/>
              </a:solidFill>
              <a:effectLst/>
              <a:latin typeface="+mn-lt"/>
              <a:ea typeface="+mn-ea"/>
              <a:cs typeface="+mn-cs"/>
            </a:rPr>
            <a:t> must</a:t>
          </a:r>
          <a:r>
            <a:rPr lang="en-US" sz="1400" b="1" u="none" baseline="0">
              <a:solidFill>
                <a:schemeClr val="tx1"/>
              </a:solidFill>
              <a:effectLst/>
              <a:latin typeface="+mn-lt"/>
              <a:ea typeface="+mn-ea"/>
              <a:cs typeface="+mn-cs"/>
            </a:rPr>
            <a:t> </a:t>
          </a:r>
          <a:r>
            <a:rPr lang="en-US" sz="1400" b="0" u="none" baseline="0">
              <a:solidFill>
                <a:schemeClr val="tx1"/>
              </a:solidFill>
              <a:effectLst/>
              <a:latin typeface="+mn-lt"/>
              <a:ea typeface="+mn-ea"/>
              <a:cs typeface="+mn-cs"/>
            </a:rPr>
            <a:t>answer t</a:t>
          </a:r>
          <a:r>
            <a:rPr lang="en-US" sz="1400">
              <a:solidFill>
                <a:schemeClr val="dk1"/>
              </a:solidFill>
              <a:effectLst/>
              <a:latin typeface="+mn-lt"/>
              <a:ea typeface="+mn-ea"/>
              <a:cs typeface="+mn-cs"/>
            </a:rPr>
            <a:t>he preliminary</a:t>
          </a:r>
          <a:r>
            <a:rPr lang="en-US" sz="1400" baseline="0">
              <a:solidFill>
                <a:schemeClr val="dk1"/>
              </a:solidFill>
              <a:effectLst/>
              <a:latin typeface="+mn-lt"/>
              <a:ea typeface="+mn-ea"/>
              <a:cs typeface="+mn-cs"/>
            </a:rPr>
            <a:t> information </a:t>
          </a:r>
          <a:r>
            <a:rPr lang="en-US" sz="1400">
              <a:solidFill>
                <a:schemeClr val="dk1"/>
              </a:solidFill>
              <a:effectLst/>
              <a:latin typeface="+mn-lt"/>
              <a:ea typeface="+mn-ea"/>
              <a:cs typeface="+mn-cs"/>
            </a:rPr>
            <a:t>questions </a:t>
          </a:r>
          <a:r>
            <a:rPr lang="en-US" sz="1400" b="0">
              <a:solidFill>
                <a:schemeClr val="dk1"/>
              </a:solidFill>
              <a:effectLst/>
              <a:latin typeface="+mn-lt"/>
              <a:ea typeface="+mn-ea"/>
              <a:cs typeface="+mn-cs"/>
            </a:rPr>
            <a:t>before</a:t>
          </a:r>
          <a:r>
            <a:rPr lang="en-US" sz="1400">
              <a:solidFill>
                <a:schemeClr val="dk1"/>
              </a:solidFill>
              <a:effectLst/>
              <a:latin typeface="+mn-lt"/>
              <a:ea typeface="+mn-ea"/>
              <a:cs typeface="+mn-cs"/>
            </a:rPr>
            <a:t> moving on to other questions. If you do not answer these  questions first, errors in scoring will occur. Also, some questions may change depending on the responses you give to the introductory</a:t>
          </a:r>
          <a:r>
            <a:rPr lang="en-US" sz="1400" baseline="0">
              <a:solidFill>
                <a:schemeClr val="dk1"/>
              </a:solidFill>
              <a:effectLst/>
              <a:latin typeface="+mn-lt"/>
              <a:ea typeface="+mn-ea"/>
              <a:cs typeface="+mn-cs"/>
            </a:rPr>
            <a:t> questions. </a:t>
          </a:r>
          <a:r>
            <a:rPr lang="en-US" sz="1400">
              <a:solidFill>
                <a:schemeClr val="dk1"/>
              </a:solidFill>
              <a:effectLst/>
              <a:latin typeface="+mn-lt"/>
              <a:ea typeface="+mn-ea"/>
              <a:cs typeface="+mn-cs"/>
            </a:rPr>
            <a:t>If the text in a cell says “Not applicable,” proceed to the next question</a:t>
          </a:r>
          <a:r>
            <a:rPr lang="en-US" sz="1100">
              <a:solidFill>
                <a:schemeClr val="dk1"/>
              </a:solidFill>
              <a:effectLst/>
              <a:latin typeface="+mn-lt"/>
              <a:ea typeface="+mn-ea"/>
              <a:cs typeface="+mn-cs"/>
            </a:rPr>
            <a:t>.  </a:t>
          </a:r>
          <a:endParaRPr lang="en-US" sz="1100">
            <a:latin typeface="+mn-l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373061</xdr:colOff>
      <xdr:row>12</xdr:row>
      <xdr:rowOff>0</xdr:rowOff>
    </xdr:from>
    <xdr:to>
      <xdr:col>0</xdr:col>
      <xdr:colOff>2669379</xdr:colOff>
      <xdr:row>17</xdr:row>
      <xdr:rowOff>309563</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373061" y="2845594"/>
          <a:ext cx="2296318" cy="176212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i="0" u="none">
              <a:solidFill>
                <a:schemeClr val="dk1"/>
              </a:solidFill>
              <a:effectLst/>
              <a:latin typeface="+mn-lt"/>
              <a:ea typeface="+mn-ea"/>
              <a:cs typeface="+mn-cs"/>
            </a:rPr>
            <a:t>Note: </a:t>
          </a:r>
          <a:r>
            <a:rPr lang="en-US" sz="1400" b="0">
              <a:solidFill>
                <a:schemeClr val="dk1"/>
              </a:solidFill>
              <a:effectLst/>
              <a:latin typeface="+mn-lt"/>
              <a:ea typeface="+mn-ea"/>
              <a:cs typeface="+mn-cs"/>
            </a:rPr>
            <a:t>You</a:t>
          </a:r>
          <a:r>
            <a:rPr lang="en-US" sz="1400" b="0" baseline="0">
              <a:solidFill>
                <a:schemeClr val="dk1"/>
              </a:solidFill>
              <a:effectLst/>
              <a:latin typeface="+mn-lt"/>
              <a:ea typeface="+mn-ea"/>
              <a:cs typeface="+mn-cs"/>
            </a:rPr>
            <a:t> must</a:t>
          </a:r>
          <a:r>
            <a:rPr lang="en-US" sz="1400" b="1" baseline="0">
              <a:solidFill>
                <a:schemeClr val="dk1"/>
              </a:solidFill>
              <a:effectLst/>
              <a:latin typeface="+mn-lt"/>
              <a:ea typeface="+mn-ea"/>
              <a:cs typeface="+mn-cs"/>
            </a:rPr>
            <a:t> </a:t>
          </a:r>
          <a:r>
            <a:rPr lang="en-US" sz="1400" b="0" baseline="0">
              <a:solidFill>
                <a:schemeClr val="dk1"/>
              </a:solidFill>
              <a:effectLst/>
              <a:latin typeface="+mn-lt"/>
              <a:ea typeface="+mn-ea"/>
              <a:cs typeface="+mn-cs"/>
            </a:rPr>
            <a:t>answer t</a:t>
          </a:r>
          <a:r>
            <a:rPr lang="en-US" sz="1400">
              <a:solidFill>
                <a:schemeClr val="dk1"/>
              </a:solidFill>
              <a:effectLst/>
              <a:latin typeface="+mn-lt"/>
              <a:ea typeface="+mn-ea"/>
              <a:cs typeface="+mn-cs"/>
            </a:rPr>
            <a:t>he preliminary</a:t>
          </a:r>
          <a:r>
            <a:rPr lang="en-US" sz="1400" baseline="0">
              <a:solidFill>
                <a:schemeClr val="dk1"/>
              </a:solidFill>
              <a:effectLst/>
              <a:latin typeface="+mn-lt"/>
              <a:ea typeface="+mn-ea"/>
              <a:cs typeface="+mn-cs"/>
            </a:rPr>
            <a:t> information </a:t>
          </a:r>
          <a:r>
            <a:rPr lang="en-US" sz="1400">
              <a:solidFill>
                <a:schemeClr val="dk1"/>
              </a:solidFill>
              <a:effectLst/>
              <a:latin typeface="+mn-lt"/>
              <a:ea typeface="+mn-ea"/>
              <a:cs typeface="+mn-cs"/>
            </a:rPr>
            <a:t>questions </a:t>
          </a:r>
          <a:r>
            <a:rPr lang="en-US" sz="1400" b="0">
              <a:solidFill>
                <a:schemeClr val="dk1"/>
              </a:solidFill>
              <a:effectLst/>
              <a:latin typeface="+mn-lt"/>
              <a:ea typeface="+mn-ea"/>
              <a:cs typeface="+mn-cs"/>
            </a:rPr>
            <a:t>before </a:t>
          </a:r>
          <a:r>
            <a:rPr lang="en-US" sz="1400">
              <a:solidFill>
                <a:schemeClr val="dk1"/>
              </a:solidFill>
              <a:effectLst/>
              <a:latin typeface="+mn-lt"/>
              <a:ea typeface="+mn-ea"/>
              <a:cs typeface="+mn-cs"/>
            </a:rPr>
            <a:t>moving on to other questions. If you do not answer these questions first, errors in scoring will occur. </a:t>
          </a:r>
          <a:endParaRPr lang="en-US"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440869</xdr:colOff>
      <xdr:row>9</xdr:row>
      <xdr:rowOff>178627</xdr:rowOff>
    </xdr:from>
    <xdr:to>
      <xdr:col>0</xdr:col>
      <xdr:colOff>3583781</xdr:colOff>
      <xdr:row>20</xdr:row>
      <xdr:rowOff>257735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40869" y="2565480"/>
          <a:ext cx="3142912" cy="4370961"/>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a:solidFill>
                <a:schemeClr val="dk1"/>
              </a:solidFill>
              <a:effectLst/>
              <a:latin typeface="+mn-lt"/>
              <a:ea typeface="+mn-ea"/>
              <a:cs typeface="+mn-cs"/>
            </a:rPr>
            <a:t>Note: </a:t>
          </a:r>
          <a:r>
            <a:rPr lang="en-US" sz="1400" b="0" i="0" u="none">
              <a:solidFill>
                <a:schemeClr val="dk1"/>
              </a:solidFill>
              <a:effectLst/>
              <a:latin typeface="+mn-lt"/>
              <a:ea typeface="+mn-ea"/>
              <a:cs typeface="+mn-cs"/>
            </a:rPr>
            <a:t>You</a:t>
          </a:r>
          <a:r>
            <a:rPr lang="en-US" sz="1400" b="1" i="0" u="none" baseline="0">
              <a:solidFill>
                <a:schemeClr val="dk1"/>
              </a:solidFill>
              <a:effectLst/>
              <a:latin typeface="+mn-lt"/>
              <a:ea typeface="+mn-ea"/>
              <a:cs typeface="+mn-cs"/>
            </a:rPr>
            <a:t> </a:t>
          </a:r>
          <a:r>
            <a:rPr lang="en-US" sz="1400" b="0" i="0" u="none" baseline="0">
              <a:solidFill>
                <a:schemeClr val="dk1"/>
              </a:solidFill>
              <a:effectLst/>
              <a:latin typeface="+mn-lt"/>
              <a:ea typeface="+mn-ea"/>
              <a:cs typeface="+mn-cs"/>
            </a:rPr>
            <a:t>must</a:t>
          </a:r>
          <a:r>
            <a:rPr lang="en-US" sz="1400" b="1" i="0" u="none" baseline="0">
              <a:solidFill>
                <a:schemeClr val="dk1"/>
              </a:solidFill>
              <a:effectLst/>
              <a:latin typeface="+mn-lt"/>
              <a:ea typeface="+mn-ea"/>
              <a:cs typeface="+mn-cs"/>
            </a:rPr>
            <a:t> </a:t>
          </a:r>
          <a:r>
            <a:rPr lang="en-US" sz="1400" b="0" i="0" u="none" baseline="0">
              <a:solidFill>
                <a:schemeClr val="dk1"/>
              </a:solidFill>
              <a:effectLst/>
              <a:latin typeface="+mn-lt"/>
              <a:ea typeface="+mn-ea"/>
              <a:cs typeface="+mn-cs"/>
            </a:rPr>
            <a:t>select the ownership structure of the primary electric and gas utilities before moving on to other questions. If you don't, </a:t>
          </a:r>
          <a:r>
            <a:rPr lang="en-US" sz="1400">
              <a:solidFill>
                <a:schemeClr val="dk1"/>
              </a:solidFill>
              <a:effectLst/>
              <a:latin typeface="+mn-lt"/>
              <a:ea typeface="+mn-ea"/>
              <a:cs typeface="+mn-cs"/>
            </a:rPr>
            <a:t>errors in scoring will occur. Also, some questions may change depending on the responses you provide to the</a:t>
          </a:r>
          <a:r>
            <a:rPr lang="en-US" sz="1400" baseline="0">
              <a:solidFill>
                <a:schemeClr val="dk1"/>
              </a:solidFill>
              <a:effectLst/>
              <a:latin typeface="+mn-lt"/>
              <a:ea typeface="+mn-ea"/>
              <a:cs typeface="+mn-cs"/>
            </a:rPr>
            <a:t> questions in the preliminary information box. </a:t>
          </a:r>
          <a:r>
            <a:rPr lang="en-US" sz="1400">
              <a:solidFill>
                <a:schemeClr val="dk1"/>
              </a:solidFill>
              <a:effectLst/>
              <a:latin typeface="+mn-lt"/>
              <a:ea typeface="+mn-ea"/>
              <a:cs typeface="+mn-cs"/>
            </a:rPr>
            <a:t>If the text in a cell changes to “not applicable,” proceed to the next question.  </a:t>
          </a:r>
        </a:p>
        <a:p>
          <a:endParaRPr lang="en-US" sz="1400">
            <a:solidFill>
              <a:sysClr val="windowText" lastClr="000000"/>
            </a:solidFill>
            <a:effectLst/>
            <a:latin typeface="+mn-lt"/>
            <a:ea typeface="+mn-ea"/>
            <a:cs typeface="+mn-cs"/>
          </a:endParaRPr>
        </a:p>
        <a:p>
          <a:r>
            <a:rPr lang="en-US" sz="1400">
              <a:solidFill>
                <a:sysClr val="windowText" lastClr="000000"/>
              </a:solidFill>
              <a:effectLst/>
            </a:rPr>
            <a:t>A</a:t>
          </a:r>
          <a:r>
            <a:rPr lang="en-US" sz="1400" baseline="0">
              <a:solidFill>
                <a:sysClr val="windowText" lastClr="000000"/>
              </a:solidFill>
              <a:effectLst/>
            </a:rPr>
            <a:t> list of utilities included in </a:t>
          </a:r>
          <a:r>
            <a:rPr lang="en-US" sz="1400" i="1" baseline="0">
              <a:solidFill>
                <a:sysClr val="windowText" lastClr="000000"/>
              </a:solidFill>
              <a:effectLst/>
            </a:rPr>
            <a:t>The</a:t>
          </a:r>
          <a:r>
            <a:rPr lang="en-US" sz="1400" baseline="0">
              <a:solidFill>
                <a:sysClr val="windowText" lastClr="000000"/>
              </a:solidFill>
              <a:effectLst/>
            </a:rPr>
            <a:t> </a:t>
          </a:r>
          <a:r>
            <a:rPr lang="en-US" sz="1400" i="1" baseline="0">
              <a:solidFill>
                <a:sysClr val="windowText" lastClr="000000"/>
              </a:solidFill>
              <a:effectLst/>
            </a:rPr>
            <a:t>2021</a:t>
          </a:r>
          <a:r>
            <a:rPr lang="en-US" sz="1400" baseline="0">
              <a:solidFill>
                <a:sysClr val="windowText" lastClr="000000"/>
              </a:solidFill>
              <a:effectLst/>
            </a:rPr>
            <a:t> </a:t>
          </a:r>
          <a:r>
            <a:rPr lang="en-US" sz="1400" i="1" baseline="0">
              <a:solidFill>
                <a:sysClr val="windowText" lastClr="000000"/>
              </a:solidFill>
              <a:effectLst/>
            </a:rPr>
            <a:t>City Clean Energy Scorecard</a:t>
          </a:r>
          <a:r>
            <a:rPr lang="en-US" sz="1400" baseline="0">
              <a:solidFill>
                <a:sysClr val="windowText" lastClr="000000"/>
              </a:solidFill>
              <a:effectLst/>
            </a:rPr>
            <a:t> is presented in the final sheet of this workbook. </a:t>
          </a:r>
          <a:r>
            <a:rPr lang="en-US" sz="1400" baseline="0">
              <a:solidFill>
                <a:sysClr val="windowText" lastClr="000000"/>
              </a:solidFill>
              <a:effectLst/>
              <a:latin typeface="+mn-lt"/>
              <a:ea typeface="+mn-ea"/>
              <a:cs typeface="+mn-cs"/>
            </a:rPr>
            <a:t>For communities that are served by the same utilities, you can use their data to answer the preliminary information questions, and also throughout this policy area sheet.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350156</xdr:colOff>
      <xdr:row>7</xdr:row>
      <xdr:rowOff>17915</xdr:rowOff>
    </xdr:from>
    <xdr:to>
      <xdr:col>0</xdr:col>
      <xdr:colOff>3132818</xdr:colOff>
      <xdr:row>13</xdr:row>
      <xdr:rowOff>598714</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50156" y="2113415"/>
          <a:ext cx="2782662" cy="3179763"/>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i="0" u="none">
              <a:solidFill>
                <a:schemeClr val="dk1"/>
              </a:solidFill>
              <a:effectLst/>
              <a:latin typeface="+mn-lt"/>
              <a:ea typeface="+mn-ea"/>
              <a:cs typeface="+mn-cs"/>
            </a:rPr>
            <a:t>Note:</a:t>
          </a:r>
          <a:r>
            <a:rPr lang="en-US" sz="1400" b="1" i="0">
              <a:solidFill>
                <a:schemeClr val="dk1"/>
              </a:solidFill>
              <a:effectLst/>
              <a:latin typeface="+mn-lt"/>
              <a:ea typeface="+mn-ea"/>
              <a:cs typeface="+mn-cs"/>
            </a:rPr>
            <a:t> </a:t>
          </a:r>
          <a:r>
            <a:rPr lang="en-US" sz="1400" b="0">
              <a:solidFill>
                <a:schemeClr val="dk1"/>
              </a:solidFill>
              <a:effectLst/>
              <a:latin typeface="+mn-lt"/>
              <a:ea typeface="+mn-ea"/>
              <a:cs typeface="+mn-cs"/>
            </a:rPr>
            <a:t>You</a:t>
          </a:r>
          <a:r>
            <a:rPr lang="en-US" sz="1400" b="0" baseline="0">
              <a:solidFill>
                <a:schemeClr val="dk1"/>
              </a:solidFill>
              <a:effectLst/>
              <a:latin typeface="+mn-lt"/>
              <a:ea typeface="+mn-ea"/>
              <a:cs typeface="+mn-cs"/>
            </a:rPr>
            <a:t> must answer t</a:t>
          </a:r>
          <a:r>
            <a:rPr lang="en-US" sz="1400">
              <a:solidFill>
                <a:schemeClr val="dk1"/>
              </a:solidFill>
              <a:effectLst/>
              <a:latin typeface="+mn-lt"/>
              <a:ea typeface="+mn-ea"/>
              <a:cs typeface="+mn-cs"/>
            </a:rPr>
            <a:t>he preliminary</a:t>
          </a:r>
          <a:r>
            <a:rPr lang="en-US" sz="1400" baseline="0">
              <a:solidFill>
                <a:schemeClr val="dk1"/>
              </a:solidFill>
              <a:effectLst/>
              <a:latin typeface="+mn-lt"/>
              <a:ea typeface="+mn-ea"/>
              <a:cs typeface="+mn-cs"/>
            </a:rPr>
            <a:t> information </a:t>
          </a:r>
          <a:r>
            <a:rPr lang="en-US" sz="1400">
              <a:solidFill>
                <a:schemeClr val="dk1"/>
              </a:solidFill>
              <a:effectLst/>
              <a:latin typeface="+mn-lt"/>
              <a:ea typeface="+mn-ea"/>
              <a:cs typeface="+mn-cs"/>
            </a:rPr>
            <a:t>questions </a:t>
          </a:r>
          <a:r>
            <a:rPr lang="en-US" sz="1400" b="0">
              <a:solidFill>
                <a:schemeClr val="dk1"/>
              </a:solidFill>
              <a:effectLst/>
              <a:latin typeface="+mn-lt"/>
              <a:ea typeface="+mn-ea"/>
              <a:cs typeface="+mn-cs"/>
            </a:rPr>
            <a:t>before</a:t>
          </a:r>
          <a:r>
            <a:rPr lang="en-US" sz="1400">
              <a:solidFill>
                <a:schemeClr val="dk1"/>
              </a:solidFill>
              <a:effectLst/>
              <a:latin typeface="+mn-lt"/>
              <a:ea typeface="+mn-ea"/>
              <a:cs typeface="+mn-cs"/>
            </a:rPr>
            <a:t> moving on to the questions related to energy</a:t>
          </a:r>
          <a:r>
            <a:rPr lang="en-US" sz="1400" baseline="0">
              <a:solidFill>
                <a:schemeClr val="dk1"/>
              </a:solidFill>
              <a:effectLst/>
              <a:latin typeface="+mn-lt"/>
              <a:ea typeface="+mn-ea"/>
              <a:cs typeface="+mn-cs"/>
            </a:rPr>
            <a:t> reduction goals, renewable energy goals, and greenhouse gas reduction goals. The data entered will be used to calculate your goal's stringency and progress toward that goal. </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If you have any questions, please contact us at cityscorecard@aceee.org.</a:t>
          </a:r>
          <a:endParaRPr lang="en-US"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235741</xdr:colOff>
      <xdr:row>3</xdr:row>
      <xdr:rowOff>65089</xdr:rowOff>
    </xdr:from>
    <xdr:to>
      <xdr:col>9</xdr:col>
      <xdr:colOff>139700</xdr:colOff>
      <xdr:row>16</xdr:row>
      <xdr:rowOff>55562</xdr:rowOff>
    </xdr:to>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9141616" y="819152"/>
          <a:ext cx="2491584" cy="2260598"/>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b="1" i="1" u="sng">
              <a:solidFill>
                <a:sysClr val="windowText" lastClr="000000"/>
              </a:solidFill>
              <a:effectLst/>
              <a:latin typeface="+mn-lt"/>
              <a:ea typeface="+mn-ea"/>
              <a:cs typeface="+mn-cs"/>
            </a:rPr>
            <a:t>City</a:t>
          </a:r>
          <a:r>
            <a:rPr lang="en-US" sz="1200" b="1" i="1" u="sng" baseline="0">
              <a:solidFill>
                <a:sysClr val="windowText" lastClr="000000"/>
              </a:solidFill>
              <a:effectLst/>
              <a:latin typeface="+mn-lt"/>
              <a:ea typeface="+mn-ea"/>
              <a:cs typeface="+mn-cs"/>
            </a:rPr>
            <a:t> Scorecard</a:t>
          </a:r>
          <a:r>
            <a:rPr lang="en-US" sz="1200" b="1" i="1" u="sng">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comparison:</a:t>
          </a:r>
          <a:r>
            <a:rPr lang="en-US" sz="1200" b="1" u="none">
              <a:solidFill>
                <a:sysClr val="windowText" lastClr="000000"/>
              </a:solidFill>
              <a:effectLst/>
              <a:latin typeface="+mn-lt"/>
              <a:ea typeface="+mn-ea"/>
              <a:cs typeface="+mn-cs"/>
            </a:rPr>
            <a:t> </a:t>
          </a:r>
          <a:r>
            <a:rPr lang="en-US" sz="1200" b="0" u="none">
              <a:solidFill>
                <a:sysClr val="windowText" lastClr="000000"/>
              </a:solidFill>
              <a:effectLst/>
              <a:latin typeface="+mn-lt"/>
              <a:ea typeface="+mn-ea"/>
              <a:cs typeface="+mn-cs"/>
            </a:rPr>
            <a:t>This graph aggregates the scores of your community and compares the result with the median</a:t>
          </a:r>
          <a:r>
            <a:rPr lang="en-US" sz="1200" b="0" u="none" baseline="0">
              <a:solidFill>
                <a:sysClr val="windowText" lastClr="000000"/>
              </a:solidFill>
              <a:effectLst/>
              <a:latin typeface="+mn-lt"/>
              <a:ea typeface="+mn-ea"/>
              <a:cs typeface="+mn-cs"/>
            </a:rPr>
            <a:t> scores of all </a:t>
          </a:r>
          <a:r>
            <a:rPr lang="en-US" sz="1200" b="1" u="none" baseline="0">
              <a:solidFill>
                <a:sysClr val="windowText" lastClr="000000"/>
              </a:solidFill>
              <a:effectLst/>
              <a:latin typeface="+mn-lt"/>
              <a:ea typeface="+mn-ea"/>
              <a:cs typeface="+mn-cs"/>
            </a:rPr>
            <a:t>100 cities in the </a:t>
          </a:r>
          <a:r>
            <a:rPr lang="en-US" sz="1200" b="1" i="1" u="none" baseline="0">
              <a:solidFill>
                <a:sysClr val="windowText" lastClr="000000"/>
              </a:solidFill>
              <a:effectLst/>
              <a:latin typeface="+mn-lt"/>
              <a:ea typeface="+mn-ea"/>
              <a:cs typeface="+mn-cs"/>
            </a:rPr>
            <a:t>2021 City Scorecard</a:t>
          </a:r>
          <a:r>
            <a:rPr lang="en-US" sz="1200" b="0" u="none">
              <a:solidFill>
                <a:sysClr val="windowText" lastClr="000000"/>
              </a:solidFill>
              <a:effectLst/>
              <a:latin typeface="+mn-lt"/>
              <a:ea typeface="+mn-ea"/>
              <a:cs typeface="+mn-cs"/>
            </a:rPr>
            <a:t>. As with other</a:t>
          </a:r>
          <a:r>
            <a:rPr lang="en-US" sz="1200" b="1" u="none">
              <a:solidFill>
                <a:sysClr val="windowText" lastClr="000000"/>
              </a:solidFill>
              <a:effectLst/>
              <a:latin typeface="+mn-lt"/>
              <a:ea typeface="+mn-ea"/>
              <a:cs typeface="+mn-cs"/>
            </a:rPr>
            <a:t> </a:t>
          </a:r>
          <a:r>
            <a:rPr lang="en-US" sz="1200" b="0" u="none">
              <a:solidFill>
                <a:sysClr val="windowText" lastClr="000000"/>
              </a:solidFill>
              <a:effectLst/>
              <a:latin typeface="+mn-lt"/>
              <a:ea typeface="+mn-ea"/>
              <a:cs typeface="+mn-cs"/>
            </a:rPr>
            <a:t>aspects of the analysis, the comparison is based on the metrics and questions you have activated by selecting a scoring criterion in the Scoring Criteria column.</a:t>
          </a:r>
        </a:p>
        <a:p>
          <a:pPr marL="0" marR="0" indent="0" defTabSz="914400" eaLnBrk="1" fontAlgn="auto" latinLnBrk="0" hangingPunct="1">
            <a:lnSpc>
              <a:spcPct val="100000"/>
            </a:lnSpc>
            <a:spcBef>
              <a:spcPts val="0"/>
            </a:spcBef>
            <a:spcAft>
              <a:spcPts val="0"/>
            </a:spcAft>
            <a:buClrTx/>
            <a:buSzTx/>
            <a:buFontTx/>
            <a:buNone/>
            <a:tabLst/>
            <a:defRPr/>
          </a:pPr>
          <a:endParaRPr lang="en-US" sz="1200" b="0" u="none">
            <a:solidFill>
              <a:schemeClr val="dk1"/>
            </a:solidFill>
            <a:effectLst/>
            <a:latin typeface="+mn-lt"/>
            <a:ea typeface="+mn-ea"/>
            <a:cs typeface="+mn-cs"/>
          </a:endParaRPr>
        </a:p>
      </xdr:txBody>
    </xdr:sp>
    <xdr:clientData/>
  </xdr:twoCellAnchor>
  <xdr:twoCellAnchor>
    <xdr:from>
      <xdr:col>5</xdr:col>
      <xdr:colOff>226218</xdr:colOff>
      <xdr:row>31</xdr:row>
      <xdr:rowOff>173835</xdr:rowOff>
    </xdr:from>
    <xdr:to>
      <xdr:col>9</xdr:col>
      <xdr:colOff>130968</xdr:colOff>
      <xdr:row>37</xdr:row>
      <xdr:rowOff>55562</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9648031" y="5825335"/>
          <a:ext cx="2492375" cy="123904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solidFill>
                <a:sysClr val="windowText" lastClr="000000"/>
              </a:solidFill>
            </a:rPr>
            <a:t>Detailed comparison</a:t>
          </a:r>
          <a:r>
            <a:rPr lang="en-US" sz="1200" u="sng" baseline="0">
              <a:solidFill>
                <a:sysClr val="windowText" lastClr="000000"/>
              </a:solidFill>
            </a:rPr>
            <a:t>:</a:t>
          </a:r>
          <a:r>
            <a:rPr lang="en-US" sz="1200" baseline="0">
              <a:solidFill>
                <a:sysClr val="windowText" lastClr="000000"/>
              </a:solidFill>
            </a:rPr>
            <a:t> </a:t>
          </a:r>
          <a:r>
            <a:rPr lang="en-US" sz="1200">
              <a:solidFill>
                <a:sysClr val="windowText" lastClr="000000"/>
              </a:solidFill>
              <a:effectLst/>
              <a:latin typeface="+mn-lt"/>
              <a:ea typeface="+mn-ea"/>
              <a:cs typeface="+mn-cs"/>
            </a:rPr>
            <a:t>Here you can see scores associated with each metric in the Self-Scoring Tool. We</a:t>
          </a:r>
          <a:r>
            <a:rPr lang="en-US" sz="1200" baseline="0">
              <a:solidFill>
                <a:sysClr val="windowText" lastClr="000000"/>
              </a:solidFill>
              <a:effectLst/>
              <a:latin typeface="+mn-lt"/>
              <a:ea typeface="+mn-ea"/>
              <a:cs typeface="+mn-cs"/>
            </a:rPr>
            <a:t> display</a:t>
          </a:r>
          <a:r>
            <a:rPr lang="en-US" sz="1200">
              <a:solidFill>
                <a:sysClr val="windowText" lastClr="000000"/>
              </a:solidFill>
              <a:effectLst/>
              <a:latin typeface="+mn-lt"/>
              <a:ea typeface="+mn-ea"/>
              <a:cs typeface="+mn-cs"/>
            </a:rPr>
            <a:t> maximum scores, median scores</a:t>
          </a:r>
          <a:r>
            <a:rPr lang="en-US" sz="1200" baseline="0">
              <a:solidFill>
                <a:sysClr val="windowText" lastClr="000000"/>
              </a:solidFill>
              <a:effectLst/>
              <a:latin typeface="+mn-lt"/>
              <a:ea typeface="+mn-ea"/>
              <a:cs typeface="+mn-cs"/>
            </a:rPr>
            <a:t> from the </a:t>
          </a:r>
          <a:r>
            <a:rPr lang="en-US" sz="1200" i="1" baseline="0">
              <a:solidFill>
                <a:sysClr val="windowText" lastClr="000000"/>
              </a:solidFill>
              <a:effectLst/>
              <a:latin typeface="+mn-lt"/>
              <a:ea typeface="+mn-ea"/>
              <a:cs typeface="+mn-cs"/>
            </a:rPr>
            <a:t>2021</a:t>
          </a:r>
          <a:r>
            <a:rPr lang="en-US" sz="1200" i="1">
              <a:solidFill>
                <a:sysClr val="windowText" lastClr="000000"/>
              </a:solidFill>
              <a:effectLst/>
              <a:latin typeface="+mn-lt"/>
              <a:ea typeface="+mn-ea"/>
              <a:cs typeface="+mn-cs"/>
            </a:rPr>
            <a:t> City Scorecard</a:t>
          </a:r>
          <a:r>
            <a:rPr lang="en-US" sz="1200">
              <a:solidFill>
                <a:sysClr val="windowText" lastClr="000000"/>
              </a:solidFill>
              <a:effectLst/>
              <a:latin typeface="+mn-lt"/>
              <a:ea typeface="+mn-ea"/>
              <a:cs typeface="+mn-cs"/>
            </a:rPr>
            <a:t>, and your community’s scores. </a:t>
          </a:r>
        </a:p>
      </xdr:txBody>
    </xdr:sp>
    <xdr:clientData/>
  </xdr:twoCellAnchor>
  <xdr:twoCellAnchor>
    <xdr:from>
      <xdr:col>5</xdr:col>
      <xdr:colOff>235742</xdr:colOff>
      <xdr:row>17</xdr:row>
      <xdr:rowOff>77787</xdr:rowOff>
    </xdr:from>
    <xdr:to>
      <xdr:col>9</xdr:col>
      <xdr:colOff>146049</xdr:colOff>
      <xdr:row>22</xdr:row>
      <xdr:rowOff>138906</xdr:rowOff>
    </xdr:to>
    <xdr:sp macro="" textlink="">
      <xdr:nvSpPr>
        <xdr:cNvPr id="10" name="TextBox 9">
          <a:hlinkClick xmlns:r="http://schemas.openxmlformats.org/officeDocument/2006/relationships" r:id="rId1"/>
          <a:extLst>
            <a:ext uri="{FF2B5EF4-FFF2-40B4-BE49-F238E27FC236}">
              <a16:creationId xmlns:a16="http://schemas.microsoft.com/office/drawing/2014/main" id="{00000000-0008-0000-0600-00000A000000}"/>
            </a:ext>
          </a:extLst>
        </xdr:cNvPr>
        <xdr:cNvSpPr txBox="1"/>
      </xdr:nvSpPr>
      <xdr:spPr>
        <a:xfrm>
          <a:off x="9141617" y="3276600"/>
          <a:ext cx="2497932" cy="934244"/>
        </a:xfrm>
        <a:prstGeom prst="rect">
          <a:avLst/>
        </a:prstGeom>
        <a:solidFill>
          <a:schemeClr val="accent3">
            <a:lumMod val="60000"/>
            <a:lumOff val="4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Calibri" panose="020F0502020204030204"/>
              <a:ea typeface="+mn-ea"/>
              <a:cs typeface="+mn-cs"/>
            </a:rPr>
            <a:t>City-to-city comparison</a:t>
          </a:r>
          <a:r>
            <a:rPr kumimoji="0" lang="en-US" sz="1200" b="0" i="0" u="sng" strike="noStrike" kern="0" cap="none" spc="0" normalizeH="0" baseline="0" noProof="0">
              <a:ln>
                <a:noFill/>
              </a:ln>
              <a:solidFill>
                <a:sysClr val="windowText" lastClr="000000"/>
              </a:solidFill>
              <a:effectLst/>
              <a:uLnTx/>
              <a:uFillTx/>
              <a:latin typeface="Calibri" panose="020F0502020204030204"/>
              <a:ea typeface="+mn-ea"/>
              <a:cs typeface="+mn-cs"/>
            </a:rPr>
            <a:t>:</a:t>
          </a: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 For a more in-depth dive into other cities' clean energy policies, click this box to visit our Local Policy Database. </a:t>
          </a:r>
        </a:p>
      </xdr:txBody>
    </xdr:sp>
    <xdr:clientData/>
  </xdr:twoCellAnchor>
  <xdr:twoCellAnchor>
    <xdr:from>
      <xdr:col>5</xdr:col>
      <xdr:colOff>261143</xdr:colOff>
      <xdr:row>130</xdr:row>
      <xdr:rowOff>357188</xdr:rowOff>
    </xdr:from>
    <xdr:to>
      <xdr:col>11</xdr:col>
      <xdr:colOff>3175</xdr:colOff>
      <xdr:row>136</xdr:row>
      <xdr:rowOff>127000</xdr:rowOff>
    </xdr:to>
    <xdr:sp macro="" textlink="">
      <xdr:nvSpPr>
        <xdr:cNvPr id="6" name="TextBox 5">
          <a:extLst>
            <a:ext uri="{FF2B5EF4-FFF2-40B4-BE49-F238E27FC236}">
              <a16:creationId xmlns:a16="http://schemas.microsoft.com/office/drawing/2014/main" id="{0CA7879E-5DAF-4C29-AE2E-96DD91CFFDB7}"/>
            </a:ext>
          </a:extLst>
        </xdr:cNvPr>
        <xdr:cNvSpPr txBox="1"/>
      </xdr:nvSpPr>
      <xdr:spPr>
        <a:xfrm>
          <a:off x="9682956" y="26066751"/>
          <a:ext cx="3615532" cy="1119187"/>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solidFill>
                <a:sysClr val="windowText" lastClr="000000"/>
              </a:solidFill>
            </a:rPr>
            <a:t>Metric categorization</a:t>
          </a:r>
          <a:r>
            <a:rPr lang="en-US" sz="1200" u="sng" baseline="0">
              <a:solidFill>
                <a:sysClr val="windowText" lastClr="000000"/>
              </a:solidFill>
            </a:rPr>
            <a:t>:</a:t>
          </a:r>
          <a:r>
            <a:rPr lang="en-US" sz="1200" baseline="0">
              <a:solidFill>
                <a:sysClr val="windowText" lastClr="000000"/>
              </a:solidFill>
            </a:rPr>
            <a:t> </a:t>
          </a:r>
          <a:r>
            <a:rPr lang="en-US" sz="1200">
              <a:solidFill>
                <a:sysClr val="windowText" lastClr="000000"/>
              </a:solidFill>
              <a:effectLst/>
              <a:latin typeface="+mn-lt"/>
              <a:ea typeface="+mn-ea"/>
              <a:cs typeface="+mn-cs"/>
            </a:rPr>
            <a:t>Here you can see scores associated with metric</a:t>
          </a:r>
          <a:r>
            <a:rPr lang="en-US" sz="1200" baseline="0">
              <a:solidFill>
                <a:sysClr val="windowText" lastClr="000000"/>
              </a:solidFill>
              <a:effectLst/>
              <a:latin typeface="+mn-lt"/>
              <a:ea typeface="+mn-ea"/>
              <a:cs typeface="+mn-cs"/>
            </a:rPr>
            <a:t> categories, including equity, smart growth, and policy performance. To see each metric's category, please refer to the metric categorization tab.</a:t>
          </a:r>
          <a:endParaRPr lang="en-US" sz="1200">
            <a:solidFill>
              <a:sysClr val="windowText" lastClr="000000"/>
            </a:solidFill>
            <a:effectLst/>
            <a:latin typeface="+mn-lt"/>
            <a:ea typeface="+mn-ea"/>
            <a:cs typeface="+mn-cs"/>
          </a:endParaRPr>
        </a:p>
      </xdr:txBody>
    </xdr:sp>
    <xdr:clientData/>
  </xdr:twoCellAnchor>
  <xdr:twoCellAnchor>
    <xdr:from>
      <xdr:col>0</xdr:col>
      <xdr:colOff>669924</xdr:colOff>
      <xdr:row>3</xdr:row>
      <xdr:rowOff>50800</xdr:rowOff>
    </xdr:from>
    <xdr:to>
      <xdr:col>4</xdr:col>
      <xdr:colOff>1158875</xdr:colOff>
      <xdr:row>30</xdr:row>
      <xdr:rowOff>49213</xdr:rowOff>
    </xdr:to>
    <xdr:graphicFrame macro="">
      <xdr:nvGraphicFramePr>
        <xdr:cNvPr id="7" name="Chart 6">
          <a:extLst>
            <a:ext uri="{FF2B5EF4-FFF2-40B4-BE49-F238E27FC236}">
              <a16:creationId xmlns:a16="http://schemas.microsoft.com/office/drawing/2014/main" id="{D8CE1DE1-C420-4069-814C-2BAF913F76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247650</xdr:colOff>
      <xdr:row>139</xdr:row>
      <xdr:rowOff>18258</xdr:rowOff>
    </xdr:from>
    <xdr:to>
      <xdr:col>11</xdr:col>
      <xdr:colOff>28575</xdr:colOff>
      <xdr:row>143</xdr:row>
      <xdr:rowOff>166688</xdr:rowOff>
    </xdr:to>
    <xdr:sp macro="" textlink="">
      <xdr:nvSpPr>
        <xdr:cNvPr id="9" name="TextBox 8">
          <a:hlinkClick xmlns:r="http://schemas.openxmlformats.org/officeDocument/2006/relationships" r:id="rId1"/>
          <a:extLst>
            <a:ext uri="{FF2B5EF4-FFF2-40B4-BE49-F238E27FC236}">
              <a16:creationId xmlns:a16="http://schemas.microsoft.com/office/drawing/2014/main" id="{77E39343-ADC3-40A5-BFEB-0882570E461D}"/>
            </a:ext>
          </a:extLst>
        </xdr:cNvPr>
        <xdr:cNvSpPr txBox="1"/>
      </xdr:nvSpPr>
      <xdr:spPr>
        <a:xfrm>
          <a:off x="9153525" y="25981821"/>
          <a:ext cx="3654425" cy="918367"/>
        </a:xfrm>
        <a:prstGeom prst="rect">
          <a:avLst/>
        </a:prstGeom>
        <a:solidFill>
          <a:schemeClr val="accent3">
            <a:lumMod val="60000"/>
            <a:lumOff val="4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Calibri" panose="020F0502020204030204"/>
              <a:ea typeface="+mn-ea"/>
              <a:cs typeface="+mn-cs"/>
            </a:rPr>
            <a:t>City-to-city comparison</a:t>
          </a:r>
          <a:r>
            <a:rPr kumimoji="0" lang="en-US" sz="1200" b="0" i="0" u="sng" strike="noStrike" kern="0" cap="none" spc="0" normalizeH="0" baseline="0" noProof="0">
              <a:ln>
                <a:noFill/>
              </a:ln>
              <a:solidFill>
                <a:sysClr val="windowText" lastClr="000000"/>
              </a:solidFill>
              <a:effectLst/>
              <a:uLnTx/>
              <a:uFillTx/>
              <a:latin typeface="Calibri" panose="020F0502020204030204"/>
              <a:ea typeface="+mn-ea"/>
              <a:cs typeface="+mn-cs"/>
            </a:rPr>
            <a:t>:</a:t>
          </a: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 Here you can see cities with similar scores in the </a:t>
          </a:r>
          <a:r>
            <a:rPr kumimoji="0" lang="en-US" sz="1200" b="0" i="1" u="none" strike="noStrike" kern="0" cap="none" spc="0" normalizeH="0" baseline="0" noProof="0">
              <a:ln>
                <a:noFill/>
              </a:ln>
              <a:solidFill>
                <a:sysClr val="windowText" lastClr="000000"/>
              </a:solidFill>
              <a:effectLst/>
              <a:uLnTx/>
              <a:uFillTx/>
              <a:latin typeface="Calibri" panose="020F0502020204030204"/>
              <a:ea typeface="+mn-ea"/>
              <a:cs typeface="+mn-cs"/>
            </a:rPr>
            <a:t>2021 City Scorecard</a:t>
          </a: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 For a more in-depth dive into these cities' clean energy policies, click this box to visit our Local Policy Database.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295275</xdr:colOff>
      <xdr:row>2</xdr:row>
      <xdr:rowOff>370</xdr:rowOff>
    </xdr:from>
    <xdr:to>
      <xdr:col>3</xdr:col>
      <xdr:colOff>142875</xdr:colOff>
      <xdr:row>18</xdr:row>
      <xdr:rowOff>35278</xdr:rowOff>
    </xdr:to>
    <xdr:sp macro="" textlink="">
      <xdr:nvSpPr>
        <xdr:cNvPr id="2" name="TextBox 1">
          <a:hlinkClick xmlns:r="http://schemas.openxmlformats.org/officeDocument/2006/relationships" r:id="rId1"/>
          <a:extLst>
            <a:ext uri="{FF2B5EF4-FFF2-40B4-BE49-F238E27FC236}">
              <a16:creationId xmlns:a16="http://schemas.microsoft.com/office/drawing/2014/main" id="{F235DA7F-AB9D-4C8D-9062-36A077A20FDF}"/>
            </a:ext>
          </a:extLst>
        </xdr:cNvPr>
        <xdr:cNvSpPr txBox="1"/>
      </xdr:nvSpPr>
      <xdr:spPr>
        <a:xfrm>
          <a:off x="295275" y="247314"/>
          <a:ext cx="2063044" cy="297002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ysClr val="windowText" lastClr="000000"/>
              </a:solidFill>
              <a:latin typeface="+mn-lt"/>
            </a:rPr>
            <a:t>Electric</a:t>
          </a:r>
          <a:r>
            <a:rPr lang="en-US" sz="1100" b="1" u="sng" baseline="0">
              <a:solidFill>
                <a:sysClr val="windowText" lastClr="000000"/>
              </a:solidFill>
              <a:latin typeface="+mn-lt"/>
            </a:rPr>
            <a:t> and natural gas utilities</a:t>
          </a:r>
          <a:endParaRPr lang="en-US" sz="1100" b="0" i="0" u="none" baseline="0">
            <a:solidFill>
              <a:sysClr val="windowText" lastClr="000000"/>
            </a:solidFill>
            <a:latin typeface="+mn-lt"/>
          </a:endParaRPr>
        </a:p>
        <a:p>
          <a:r>
            <a:rPr lang="en-US" sz="1100" b="0" i="0" u="none" baseline="0">
              <a:solidFill>
                <a:sysClr val="windowText" lastClr="000000"/>
              </a:solidFill>
              <a:latin typeface="+mn-lt"/>
            </a:rPr>
            <a:t>The following utilities were included in the </a:t>
          </a:r>
          <a:r>
            <a:rPr lang="en-US" sz="1100" b="0" i="1" u="none" baseline="0">
              <a:solidFill>
                <a:sysClr val="windowText" lastClr="000000"/>
              </a:solidFill>
              <a:latin typeface="+mn-lt"/>
            </a:rPr>
            <a:t>2021 City Clean Energy Scorecard</a:t>
          </a:r>
          <a:r>
            <a:rPr lang="en-US" sz="1100" b="0" i="0" u="none" baseline="0">
              <a:solidFill>
                <a:sysClr val="windowText" lastClr="000000"/>
              </a:solidFill>
              <a:latin typeface="+mn-lt"/>
            </a:rPr>
            <a:t> as the main electric or natural gas utilities in the 100 cities. For comunities that may be served by the same utility, you can use their data to answer questions in the Self-Scoring Tool.</a:t>
          </a:r>
          <a:r>
            <a:rPr lang="en-US" sz="1100" b="0" i="0" u="none" baseline="0">
              <a:solidFill>
                <a:schemeClr val="accent6">
                  <a:lumMod val="50000"/>
                </a:schemeClr>
              </a:solidFill>
              <a:latin typeface="+mn-lt"/>
            </a:rPr>
            <a:t> </a:t>
          </a:r>
          <a:r>
            <a:rPr lang="en-US" sz="1100" b="0" i="0" u="none" baseline="0">
              <a:solidFill>
                <a:sysClr val="windowText" lastClr="000000"/>
              </a:solidFill>
              <a:latin typeface="+mn-lt"/>
            </a:rPr>
            <a:t>Click on this box to open ACEEE's State and Local Policy Database. Utility data can be found in the database</a:t>
          </a:r>
          <a:r>
            <a:rPr lang="en-US" sz="1100" b="0" i="0" u="none" baseline="0">
              <a:solidFill>
                <a:srgbClr val="993300"/>
              </a:solidFill>
              <a:latin typeface="+mn-lt"/>
            </a:rPr>
            <a:t> </a:t>
          </a:r>
          <a:r>
            <a:rPr lang="en-US" sz="1100" b="0" i="0" u="none" baseline="0">
              <a:solidFill>
                <a:sysClr val="windowText" lastClr="000000"/>
              </a:solidFill>
              <a:latin typeface="+mn-lt"/>
            </a:rPr>
            <a:t>by clicking on the corresponding city on the map, then the energy and water utilities tab. </a:t>
          </a:r>
          <a:endParaRPr lang="en-US" sz="1100" b="0" u="none" baseline="0">
            <a:solidFill>
              <a:sysClr val="windowText" lastClr="000000"/>
            </a:solidFill>
            <a:latin typeface="+mn-l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76200</xdr:colOff>
      <xdr:row>314</xdr:row>
      <xdr:rowOff>36512</xdr:rowOff>
    </xdr:from>
    <xdr:to>
      <xdr:col>20</xdr:col>
      <xdr:colOff>247650</xdr:colOff>
      <xdr:row>328</xdr:row>
      <xdr:rowOff>87312</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5325725" y="57843737"/>
              <a:ext cx="6438900" cy="260032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274637</xdr:colOff>
      <xdr:row>332</xdr:row>
      <xdr:rowOff>4762</xdr:rowOff>
    </xdr:from>
    <xdr:to>
      <xdr:col>17</xdr:col>
      <xdr:colOff>503237</xdr:colOff>
      <xdr:row>347</xdr:row>
      <xdr:rowOff>26987</xdr:rowOff>
    </xdr:to>
    <xdr:graphicFrame macro="">
      <xdr:nvGraphicFramePr>
        <xdr:cNvPr id="3" name="Chart 2">
          <a:extLst>
            <a:ext uri="{FF2B5EF4-FFF2-40B4-BE49-F238E27FC236}">
              <a16:creationId xmlns:a16="http://schemas.microsoft.com/office/drawing/2014/main" id="{3BB83B18-82D0-4130-8630-B6AE999946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16383</v>
    <v>8</v>
    <v>37</v>
    <v>5</v>
  </rv>
</rvData>
</file>

<file path=xl/richData/rdrichvaluestructure.xml><?xml version="1.0" encoding="utf-8"?>
<rvStructures xmlns="http://schemas.microsoft.com/office/spreadsheetml/2017/richdata" count="1">
  <s t="_error">
    <k n="colOffset" t="i"/>
    <k n="errorType" t="i"/>
    <k n="rwOffset"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67:E81" totalsRowShown="0" headerRowDxfId="36" headerRowBorderDxfId="35" tableBorderDxfId="34" dataCellStyle="Normal 6">
  <autoFilter ref="A67:E81" xr:uid="{00000000-0009-0000-0100-000001000000}"/>
  <tableColumns count="5">
    <tableColumn id="1" xr3:uid="{00000000-0010-0000-0100-000001000000}" name="Corresponding cell" dataCellStyle="Normal 6"/>
    <tableColumn id="2" xr3:uid="{00000000-0010-0000-0100-000002000000}" name="Option #1" dataCellStyle="Normal 6"/>
    <tableColumn id="3" xr3:uid="{00000000-0010-0000-0100-000003000000}" name="Option #2" dataCellStyle="Normal 6"/>
    <tableColumn id="4" xr3:uid="{00000000-0010-0000-0100-000004000000}" name="Option #3" dataCellStyle="Normal 6"/>
    <tableColumn id="5" xr3:uid="{00000000-0010-0000-0100-000005000000}" name="Option #4" dataCellStyle="Normal 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91:F128" totalsRowShown="0" headerRowDxfId="33" dataDxfId="32">
  <autoFilter ref="A91:F128" xr:uid="{00000000-0009-0000-0100-000004000000}"/>
  <tableColumns count="6">
    <tableColumn id="1" xr3:uid="{00000000-0010-0000-0300-000001000000}" name="Corresponding Cell" dataDxfId="31"/>
    <tableColumn id="2" xr3:uid="{00000000-0010-0000-0300-000002000000}" name="Option #1" dataDxfId="30"/>
    <tableColumn id="3" xr3:uid="{00000000-0010-0000-0300-000003000000}" name="Option #2" dataDxfId="29"/>
    <tableColumn id="4" xr3:uid="{00000000-0010-0000-0300-000004000000}" name="Option #3" dataDxfId="28"/>
    <tableColumn id="5" xr3:uid="{00000000-0010-0000-0300-000005000000}" name="Option #4" dataDxfId="27"/>
    <tableColumn id="6" xr3:uid="{00000000-0010-0000-0300-000006000000}" name="Column1" dataDxfId="2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81:H103" headerRowDxfId="25" dataDxfId="24" totalsRowDxfId="23" totalsRowCellStyle="Percent 2">
  <tableColumns count="8">
    <tableColumn id="1" xr3:uid="{00000000-0010-0000-0200-000001000000}" name="Corresponding cell" totalsRowLabel="Total" dataDxfId="22" totalsRowDxfId="21"/>
    <tableColumn id="2" xr3:uid="{00000000-0010-0000-0200-000002000000}" name="Option #1" dataDxfId="20" totalsRowDxfId="19"/>
    <tableColumn id="3" xr3:uid="{00000000-0010-0000-0200-000003000000}" name="Option #2" dataDxfId="18" totalsRowDxfId="17"/>
    <tableColumn id="4" xr3:uid="{00000000-0010-0000-0200-000004000000}" name="Option #3" totalsRowFunction="count" dataDxfId="16" totalsRowDxfId="15"/>
    <tableColumn id="5" xr3:uid="{00000000-0010-0000-0200-000005000000}" name="Option #4" dataDxfId="14" totalsRowDxfId="13" dataCellStyle="Percent 2"/>
    <tableColumn id="6" xr3:uid="{00000000-0010-0000-0200-000006000000}" name="Option #5" dataDxfId="12" totalsRowDxfId="11" dataCellStyle="Percent 2"/>
    <tableColumn id="7" xr3:uid="{00000000-0010-0000-0200-000007000000}" name="Option #6" dataDxfId="10" totalsRowDxfId="9" dataCellStyle="Percent 2"/>
    <tableColumn id="8" xr3:uid="{00000000-0010-0000-0200-000008000000}" name="Option #7" dataDxfId="8" totalsRowDxfId="7" dataCellStyle="Percent 2"/>
  </tableColumns>
  <tableStyleInfo name="TableStyleMedium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78:E99" totalsRowShown="0" headerRowDxfId="6" dataDxfId="5">
  <autoFilter ref="A78:E99" xr:uid="{00000000-0009-0000-0100-000003000000}">
    <filterColumn colId="0" hiddenButton="1"/>
    <filterColumn colId="1" hiddenButton="1"/>
    <filterColumn colId="2" hiddenButton="1"/>
    <filterColumn colId="3" hiddenButton="1"/>
    <filterColumn colId="4" hiddenButton="1"/>
  </autoFilter>
  <tableColumns count="5">
    <tableColumn id="1" xr3:uid="{00000000-0010-0000-0000-000001000000}" name="Corresponding row" dataDxfId="4"/>
    <tableColumn id="2" xr3:uid="{00000000-0010-0000-0000-000002000000}" name="Option #1" dataDxfId="3"/>
    <tableColumn id="3" xr3:uid="{00000000-0010-0000-0000-000003000000}" name="Option #2" dataDxfId="2"/>
    <tableColumn id="4" xr3:uid="{00000000-0010-0000-0000-000004000000}" name="Option #3" dataDxfId="1"/>
    <tableColumn id="5" xr3:uid="{00000000-0010-0000-0000-000005000000}" name="Option #4"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data.census.gov/cedsci/advanced" TargetMode="External"/><Relationship Id="rId7"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mailto:cityscorecard@aceee.org" TargetMode="External"/><Relationship Id="rId7" Type="http://schemas.openxmlformats.org/officeDocument/2006/relationships/vmlDrawing" Target="../drawings/vmlDrawing2.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drawing" Target="../drawings/drawing5.xml"/><Relationship Id="rId5" Type="http://schemas.openxmlformats.org/officeDocument/2006/relationships/printerSettings" Target="../printerSettings/printerSettings11.bin"/><Relationship Id="rId4" Type="http://schemas.openxmlformats.org/officeDocument/2006/relationships/hyperlink" Target="mailto:cityscorecard@aceee.org"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alltransit.cnt.org/" TargetMode="External"/><Relationship Id="rId13" Type="http://schemas.openxmlformats.org/officeDocument/2006/relationships/vmlDrawing" Target="../drawings/vmlDrawing3.vml"/><Relationship Id="rId3" Type="http://schemas.openxmlformats.org/officeDocument/2006/relationships/hyperlink" Target="http://alltransit.cnt.org/metrics/" TargetMode="External"/><Relationship Id="rId7" Type="http://schemas.openxmlformats.org/officeDocument/2006/relationships/hyperlink" Target="https://www.afdc.energy.gov/data_download" TargetMode="External"/><Relationship Id="rId12"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hyperlink" Target="https://www.census.gov/data/tables/time-series/demo/popest/2010s-total-cities-and-towns.html" TargetMode="External"/><Relationship Id="rId11" Type="http://schemas.openxmlformats.org/officeDocument/2006/relationships/printerSettings" Target="../printerSettings/printerSettings14.bin"/><Relationship Id="rId5" Type="http://schemas.openxmlformats.org/officeDocument/2006/relationships/hyperlink" Target="http://www.placemakers.com/how-we-teach/codes-study/" TargetMode="External"/><Relationship Id="rId15" Type="http://schemas.openxmlformats.org/officeDocument/2006/relationships/comments" Target="../comments3.xml"/><Relationship Id="rId10" Type="http://schemas.openxmlformats.org/officeDocument/2006/relationships/hyperlink" Target="https://www.census.gov/data" TargetMode="External"/><Relationship Id="rId4" Type="http://schemas.openxmlformats.org/officeDocument/2006/relationships/hyperlink" Target="https://www.transit.dot.gov/ntd/data-product/ts11-total-funding-time-series-3" TargetMode="External"/><Relationship Id="rId9" Type="http://schemas.openxmlformats.org/officeDocument/2006/relationships/hyperlink" Target="https://cityratings.peopleforbikes.org/" TargetMode="External"/><Relationship Id="rId1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www.eia.gov/electricity/data/eia861/" TargetMode="External"/><Relationship Id="rId7"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17.bin"/><Relationship Id="rId5" Type="http://schemas.openxmlformats.org/officeDocument/2006/relationships/hyperlink" Target="http://www.eia.gov/electricity/data/eia861/" TargetMode="External"/><Relationship Id="rId10" Type="http://schemas.openxmlformats.org/officeDocument/2006/relationships/comments" Target="../comments4.xml"/><Relationship Id="rId4" Type="http://schemas.openxmlformats.org/officeDocument/2006/relationships/hyperlink" Target="https://www.eia.gov/naturalgas/ngqs/" TargetMode="External"/><Relationship Id="rId9" Type="http://schemas.openxmlformats.org/officeDocument/2006/relationships/table" Target="../tables/table3.xml"/></Relationships>
</file>

<file path=xl/worksheets/_rels/sheet8.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s://data.census.gov/cedsci/advanced" TargetMode="External"/><Relationship Id="rId7" Type="http://schemas.openxmlformats.org/officeDocument/2006/relationships/table" Target="../tables/table4.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vmlDrawing" Target="../drawings/vmlDrawing5.vml"/><Relationship Id="rId5" Type="http://schemas.openxmlformats.org/officeDocument/2006/relationships/drawing" Target="../drawings/drawing8.xml"/><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Q94"/>
  <sheetViews>
    <sheetView tabSelected="1" zoomScale="80" zoomScaleNormal="80" workbookViewId="0">
      <selection activeCell="D23" sqref="D23"/>
    </sheetView>
  </sheetViews>
  <sheetFormatPr defaultColWidth="8.81640625" defaultRowHeight="14.5"/>
  <cols>
    <col min="1" max="1" width="3.90625" customWidth="1"/>
    <col min="2" max="2" width="5.81640625" customWidth="1"/>
    <col min="3" max="3" width="19.81640625" customWidth="1"/>
    <col min="4" max="4" width="22.453125" customWidth="1"/>
    <col min="5" max="5" width="21.1796875" customWidth="1"/>
    <col min="6" max="6" width="22.7265625" customWidth="1"/>
    <col min="7" max="7" width="15.453125" customWidth="1"/>
    <col min="8" max="8" width="21" customWidth="1"/>
    <col min="9" max="9" width="20" customWidth="1"/>
    <col min="10" max="10" width="18.1796875" customWidth="1"/>
    <col min="11" max="11" width="24.81640625" customWidth="1"/>
    <col min="12" max="12" width="22" customWidth="1"/>
    <col min="13" max="13" width="21.453125" customWidth="1"/>
    <col min="14" max="14" width="18.26953125" customWidth="1"/>
  </cols>
  <sheetData>
    <row r="1" spans="1:12" s="22" customFormat="1">
      <c r="A1" s="144"/>
      <c r="B1" s="144"/>
      <c r="C1" s="144"/>
      <c r="D1" s="144"/>
      <c r="E1" s="144"/>
      <c r="F1" s="144"/>
      <c r="G1" s="144"/>
      <c r="H1" s="144"/>
      <c r="I1" s="144"/>
      <c r="J1" s="144"/>
      <c r="K1" s="144"/>
      <c r="L1" s="144"/>
    </row>
    <row r="2" spans="1:12" s="22" customFormat="1">
      <c r="A2" s="144"/>
      <c r="B2" s="144"/>
      <c r="C2" s="144"/>
      <c r="D2" s="144"/>
      <c r="E2" s="144"/>
      <c r="F2" s="144"/>
      <c r="G2" s="144"/>
      <c r="H2" s="144"/>
      <c r="I2" s="144"/>
      <c r="J2" s="144"/>
      <c r="K2" s="144"/>
      <c r="L2" s="144"/>
    </row>
    <row r="3" spans="1:12" s="22" customFormat="1">
      <c r="A3" s="144"/>
      <c r="B3" s="144"/>
      <c r="C3" s="144"/>
      <c r="D3" s="144"/>
      <c r="E3" s="144"/>
      <c r="F3" s="144"/>
      <c r="G3" s="144"/>
      <c r="H3" s="144"/>
      <c r="I3" s="144"/>
      <c r="J3" s="144"/>
      <c r="K3" s="144"/>
      <c r="L3" s="144"/>
    </row>
    <row r="4" spans="1:12" s="22" customFormat="1">
      <c r="A4" s="144"/>
      <c r="B4" s="144"/>
      <c r="C4" s="144"/>
      <c r="D4" s="144"/>
      <c r="E4" s="144"/>
      <c r="F4" s="144"/>
      <c r="G4" s="144"/>
      <c r="H4" s="144"/>
      <c r="I4" s="144"/>
      <c r="J4" s="144"/>
      <c r="K4" s="144"/>
      <c r="L4" s="144"/>
    </row>
    <row r="5" spans="1:12" s="22" customFormat="1">
      <c r="A5" s="144"/>
      <c r="B5" s="144"/>
      <c r="C5" s="144"/>
      <c r="D5" s="144"/>
      <c r="E5" s="144"/>
      <c r="F5" s="144"/>
      <c r="G5" s="144"/>
      <c r="H5" s="144"/>
      <c r="I5" s="144"/>
      <c r="J5" s="144"/>
      <c r="K5" s="144"/>
      <c r="L5" s="144"/>
    </row>
    <row r="6" spans="1:12" s="22" customFormat="1">
      <c r="A6" s="144"/>
      <c r="B6" s="144"/>
      <c r="C6" s="144"/>
      <c r="D6" s="144"/>
      <c r="E6" s="144"/>
      <c r="F6" s="144"/>
      <c r="G6" s="144"/>
      <c r="H6" s="144"/>
      <c r="I6" s="144"/>
      <c r="J6" s="144"/>
      <c r="K6" s="144"/>
      <c r="L6" s="144"/>
    </row>
    <row r="7" spans="1:12" s="22" customFormat="1">
      <c r="A7" s="144"/>
      <c r="B7" s="144"/>
      <c r="C7" s="144"/>
      <c r="D7" s="144"/>
      <c r="E7" s="144"/>
      <c r="F7" s="144"/>
      <c r="G7" s="144"/>
      <c r="H7" s="144"/>
      <c r="I7" s="144"/>
      <c r="J7" s="144"/>
      <c r="K7" s="144"/>
      <c r="L7" s="144"/>
    </row>
    <row r="8" spans="1:12" s="22" customFormat="1" ht="31">
      <c r="A8" s="144"/>
      <c r="B8" s="144"/>
      <c r="C8" s="489" t="s">
        <v>0</v>
      </c>
      <c r="D8" s="489"/>
      <c r="E8" s="144"/>
      <c r="F8" s="144"/>
      <c r="G8" s="144"/>
      <c r="H8" s="144"/>
      <c r="I8" s="144"/>
      <c r="J8" s="144"/>
      <c r="K8" s="144"/>
      <c r="L8" s="144"/>
    </row>
    <row r="9" spans="1:12" s="22" customFormat="1">
      <c r="A9" s="144"/>
      <c r="B9" s="144"/>
      <c r="C9" s="490" t="s">
        <v>1</v>
      </c>
      <c r="D9" s="144"/>
      <c r="E9" s="144"/>
      <c r="F9" s="144"/>
      <c r="G9" s="144"/>
      <c r="H9" s="144"/>
      <c r="I9" s="144"/>
      <c r="J9" s="144"/>
      <c r="K9" s="144"/>
      <c r="L9" s="144"/>
    </row>
    <row r="10" spans="1:12" s="22" customFormat="1">
      <c r="A10" s="144"/>
      <c r="B10" s="144"/>
      <c r="C10" s="144"/>
      <c r="D10" s="144"/>
      <c r="E10" s="144"/>
      <c r="F10" s="144"/>
      <c r="G10" s="144"/>
      <c r="H10" s="144"/>
      <c r="I10" s="144"/>
      <c r="J10" s="144"/>
      <c r="K10" s="144"/>
      <c r="L10" s="144"/>
    </row>
    <row r="11" spans="1:12" s="22" customFormat="1">
      <c r="A11" s="144"/>
      <c r="B11" s="144"/>
      <c r="C11" s="144"/>
      <c r="D11" s="144"/>
      <c r="E11" s="144"/>
      <c r="F11" s="144"/>
      <c r="G11" s="144"/>
      <c r="H11" s="144"/>
      <c r="I11" s="144"/>
      <c r="J11" s="144"/>
      <c r="K11" s="144"/>
      <c r="L11" s="144"/>
    </row>
    <row r="12" spans="1:12" s="22" customFormat="1">
      <c r="A12" s="144"/>
      <c r="B12" s="144"/>
      <c r="C12" s="144"/>
      <c r="D12" s="144"/>
      <c r="E12" s="144"/>
      <c r="F12" s="144"/>
      <c r="G12" s="144"/>
      <c r="H12" s="144"/>
      <c r="I12" s="144"/>
      <c r="J12" s="144"/>
      <c r="K12" s="144"/>
      <c r="L12" s="144"/>
    </row>
    <row r="13" spans="1:12" s="22" customFormat="1">
      <c r="A13" s="144"/>
      <c r="B13" s="144"/>
      <c r="C13" s="144"/>
      <c r="D13" s="144"/>
      <c r="E13" s="144"/>
      <c r="F13" s="144"/>
      <c r="G13" s="144"/>
      <c r="H13" s="144"/>
      <c r="I13" s="144"/>
      <c r="J13" s="144"/>
      <c r="K13" s="144"/>
      <c r="L13" s="144"/>
    </row>
    <row r="14" spans="1:12" s="22" customFormat="1">
      <c r="A14" s="144"/>
      <c r="B14" s="144"/>
      <c r="C14" s="144"/>
      <c r="D14" s="144"/>
      <c r="E14" s="144"/>
      <c r="F14" s="144"/>
      <c r="G14" s="144"/>
      <c r="H14" s="144"/>
      <c r="I14" s="144"/>
      <c r="J14" s="144"/>
      <c r="K14" s="144"/>
      <c r="L14" s="144"/>
    </row>
    <row r="15" spans="1:12" s="22" customFormat="1">
      <c r="A15" s="144"/>
      <c r="B15" s="144"/>
      <c r="C15" s="144"/>
      <c r="D15" s="144"/>
      <c r="E15" s="144"/>
      <c r="F15" s="144"/>
      <c r="G15" s="144"/>
      <c r="H15" s="144"/>
      <c r="I15" s="144"/>
      <c r="J15" s="144"/>
      <c r="K15" s="144"/>
      <c r="L15" s="144"/>
    </row>
    <row r="16" spans="1:12" s="22" customFormat="1">
      <c r="A16" s="144"/>
      <c r="B16" s="144"/>
      <c r="C16" s="144"/>
      <c r="D16" s="144"/>
      <c r="E16" s="144"/>
      <c r="F16" s="144"/>
      <c r="G16" s="144"/>
      <c r="H16" s="144"/>
      <c r="I16" s="144"/>
      <c r="J16" s="144"/>
      <c r="K16" s="144"/>
      <c r="L16" s="144"/>
    </row>
    <row r="17" spans="1:43" s="22" customFormat="1">
      <c r="A17" s="144"/>
      <c r="B17" s="144"/>
      <c r="C17" s="144"/>
      <c r="D17" s="144"/>
      <c r="E17" s="144"/>
      <c r="F17" s="144"/>
      <c r="G17" s="144"/>
      <c r="H17" s="144"/>
      <c r="I17" s="144"/>
      <c r="J17" s="144"/>
      <c r="K17" s="144"/>
      <c r="L17" s="144"/>
    </row>
    <row r="18" spans="1:43" s="22" customFormat="1">
      <c r="A18" s="144"/>
      <c r="B18" s="144"/>
      <c r="C18" s="144"/>
      <c r="D18" s="144"/>
      <c r="E18" s="144"/>
      <c r="F18" s="144"/>
      <c r="G18" s="144"/>
      <c r="H18" s="144"/>
      <c r="I18" s="144"/>
      <c r="J18" s="144"/>
      <c r="K18" s="144"/>
      <c r="L18" s="144"/>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row>
    <row r="19" spans="1:43" s="22" customFormat="1">
      <c r="A19" s="144"/>
      <c r="B19" s="144"/>
      <c r="C19" s="144"/>
      <c r="D19" s="144"/>
      <c r="E19" s="144"/>
      <c r="F19" s="144"/>
      <c r="G19" s="144"/>
      <c r="H19" s="144"/>
      <c r="I19" s="144"/>
      <c r="J19" s="144"/>
      <c r="K19" s="144"/>
      <c r="L19" s="144"/>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row>
    <row r="20" spans="1:43" s="22" customFormat="1">
      <c r="A20" s="144"/>
      <c r="B20" s="144"/>
      <c r="C20" s="144"/>
      <c r="D20" s="144"/>
      <c r="E20" s="144"/>
      <c r="F20" s="144"/>
      <c r="G20" s="144"/>
      <c r="H20" s="144"/>
      <c r="I20" s="144"/>
      <c r="J20" s="144"/>
      <c r="K20" s="144"/>
      <c r="L20" s="144"/>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row>
    <row r="21" spans="1:43" s="22" customFormat="1" ht="10" customHeight="1">
      <c r="A21" s="144"/>
      <c r="B21" s="144"/>
      <c r="C21" s="144"/>
      <c r="D21" s="144"/>
      <c r="E21" s="144"/>
      <c r="F21" s="144"/>
      <c r="G21" s="144"/>
      <c r="H21" s="144"/>
      <c r="I21" s="144"/>
      <c r="J21" s="144"/>
      <c r="K21" s="144"/>
      <c r="L21" s="144"/>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row>
    <row r="22" spans="1:43" s="22" customFormat="1" ht="10.5" customHeight="1" thickBot="1">
      <c r="A22" s="144"/>
      <c r="B22" s="144"/>
      <c r="C22" s="144"/>
      <c r="D22" s="144"/>
      <c r="E22" s="144"/>
      <c r="F22" s="144"/>
      <c r="G22" s="144"/>
      <c r="H22" s="144"/>
      <c r="I22" s="144"/>
      <c r="J22" s="144"/>
      <c r="K22" s="144"/>
      <c r="L22" s="144"/>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row>
    <row r="23" spans="1:43" ht="20.25" customHeight="1" thickBot="1">
      <c r="A23" s="144"/>
      <c r="B23" s="144"/>
      <c r="C23" s="487" t="s">
        <v>2</v>
      </c>
      <c r="D23" s="488"/>
      <c r="E23" s="144"/>
      <c r="F23" s="144"/>
      <c r="G23" s="144"/>
      <c r="H23" s="144"/>
      <c r="I23" s="144"/>
      <c r="J23" s="144"/>
      <c r="K23" s="22"/>
      <c r="L23" s="22"/>
      <c r="M23" s="22"/>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row>
    <row r="24" spans="1:43" s="22" customFormat="1">
      <c r="A24" s="144"/>
      <c r="B24" s="144"/>
      <c r="C24" s="211"/>
      <c r="D24" s="211"/>
      <c r="E24" s="144"/>
      <c r="F24" s="144"/>
      <c r="G24" s="144"/>
      <c r="H24" s="144"/>
      <c r="I24" s="144"/>
      <c r="J24" s="144"/>
      <c r="K24" s="144"/>
      <c r="L24" s="144"/>
      <c r="M24" s="144"/>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row>
    <row r="25" spans="1:43" s="22" customFormat="1">
      <c r="A25" s="144"/>
      <c r="B25" s="144"/>
      <c r="C25" s="144"/>
      <c r="D25" s="144"/>
      <c r="E25" s="144"/>
      <c r="F25" s="144"/>
      <c r="G25" s="144"/>
      <c r="H25" s="144"/>
      <c r="I25" s="144"/>
      <c r="J25" s="144"/>
      <c r="K25" s="144"/>
      <c r="L25" s="144"/>
      <c r="M25" s="144"/>
    </row>
    <row r="26" spans="1:43" s="22" customFormat="1">
      <c r="A26" s="144"/>
      <c r="B26" s="144"/>
      <c r="C26" s="144"/>
      <c r="D26" s="144"/>
      <c r="E26" s="144"/>
      <c r="F26" s="144"/>
      <c r="G26" s="144"/>
      <c r="H26" s="144"/>
      <c r="I26" s="144"/>
      <c r="J26" s="144"/>
      <c r="K26" s="144"/>
      <c r="L26" s="144"/>
      <c r="M26" s="144"/>
    </row>
    <row r="27" spans="1:43" s="22" customFormat="1">
      <c r="A27" s="144"/>
      <c r="B27" s="144"/>
      <c r="C27" s="144" t="s">
        <v>3</v>
      </c>
      <c r="D27" s="144"/>
      <c r="E27" s="144"/>
      <c r="F27" s="144"/>
      <c r="G27" s="144"/>
      <c r="H27" s="144"/>
      <c r="I27" s="144"/>
      <c r="J27" s="144"/>
      <c r="K27" s="144"/>
      <c r="L27" s="144"/>
      <c r="M27" s="144"/>
    </row>
    <row r="28" spans="1:43" s="22" customFormat="1">
      <c r="A28" s="144"/>
      <c r="B28" s="144"/>
      <c r="C28" s="144"/>
      <c r="D28" s="144"/>
      <c r="E28" s="144"/>
      <c r="F28" s="144"/>
      <c r="G28" s="144"/>
      <c r="H28" s="144"/>
      <c r="I28" s="144"/>
      <c r="J28" s="144"/>
      <c r="K28" s="144"/>
      <c r="L28" s="144"/>
      <c r="M28" s="144"/>
    </row>
    <row r="29" spans="1:43" s="22" customFormat="1">
      <c r="A29" s="144"/>
      <c r="B29" s="144"/>
      <c r="C29" s="144"/>
      <c r="D29" s="144" t="s">
        <v>4</v>
      </c>
      <c r="E29" s="144"/>
      <c r="F29" s="144"/>
      <c r="G29" s="144"/>
      <c r="H29" s="144"/>
      <c r="I29" s="144"/>
      <c r="J29" s="144"/>
      <c r="K29" s="144"/>
      <c r="L29" s="144"/>
      <c r="M29" s="144"/>
    </row>
    <row r="30" spans="1:43" s="22" customFormat="1">
      <c r="A30" s="144"/>
      <c r="B30" s="144"/>
      <c r="C30" s="144"/>
      <c r="D30" s="144" t="s">
        <v>5</v>
      </c>
      <c r="E30" s="144"/>
      <c r="F30" s="144"/>
      <c r="G30" s="144"/>
      <c r="H30" s="144"/>
      <c r="I30" s="144"/>
      <c r="J30" s="144"/>
      <c r="K30" s="144"/>
      <c r="L30" s="144"/>
      <c r="M30" s="144"/>
    </row>
    <row r="31" spans="1:43" s="22" customFormat="1">
      <c r="A31" s="144"/>
      <c r="B31" s="144"/>
      <c r="C31" s="144"/>
      <c r="D31" s="144"/>
      <c r="E31" s="144"/>
      <c r="F31" s="144"/>
      <c r="G31" s="144"/>
      <c r="H31" s="144"/>
      <c r="I31" s="144"/>
      <c r="J31" s="144"/>
      <c r="K31" s="144"/>
      <c r="L31" s="144"/>
      <c r="M31" s="144"/>
    </row>
    <row r="32" spans="1:43" s="22" customFormat="1">
      <c r="A32" s="144"/>
      <c r="B32" s="144"/>
      <c r="C32" s="144"/>
      <c r="D32" s="144"/>
      <c r="E32" s="144"/>
      <c r="F32" s="144"/>
      <c r="G32" s="144"/>
      <c r="H32" s="144"/>
      <c r="I32" s="144"/>
      <c r="J32" s="144"/>
      <c r="K32" s="144"/>
      <c r="L32" s="144"/>
      <c r="M32" s="144"/>
    </row>
    <row r="33" spans="1:13" s="22" customFormat="1">
      <c r="A33" s="144"/>
      <c r="B33" s="144"/>
      <c r="C33" s="144"/>
      <c r="D33" s="144"/>
      <c r="E33" s="144"/>
      <c r="F33" s="144"/>
      <c r="G33" s="144"/>
      <c r="H33" s="144"/>
      <c r="I33" s="144"/>
      <c r="J33" s="144"/>
      <c r="K33" s="144"/>
      <c r="L33" s="144"/>
      <c r="M33" s="144"/>
    </row>
    <row r="34" spans="1:13" s="22" customFormat="1">
      <c r="A34" s="144"/>
      <c r="B34" s="144"/>
      <c r="C34" s="144"/>
      <c r="D34" s="144"/>
      <c r="E34" s="144"/>
      <c r="F34" s="144"/>
      <c r="G34" s="144"/>
      <c r="H34" s="144"/>
      <c r="I34" s="144"/>
      <c r="J34" s="144"/>
      <c r="K34" s="144"/>
      <c r="L34" s="144"/>
      <c r="M34" s="144"/>
    </row>
    <row r="35" spans="1:13" s="22" customFormat="1">
      <c r="A35" s="144"/>
      <c r="B35" s="144"/>
      <c r="C35" s="144"/>
      <c r="D35" s="144"/>
      <c r="E35" s="144"/>
      <c r="F35" s="144"/>
      <c r="G35" s="144"/>
      <c r="H35" s="144"/>
      <c r="I35" s="144"/>
      <c r="J35" s="144"/>
      <c r="K35" s="144"/>
      <c r="L35" s="144"/>
      <c r="M35" s="144"/>
    </row>
    <row r="36" spans="1:13" s="22" customFormat="1">
      <c r="A36" s="144"/>
      <c r="B36" s="144"/>
      <c r="C36" s="144"/>
      <c r="D36" s="144"/>
      <c r="E36" s="144"/>
      <c r="F36" s="144"/>
      <c r="G36" s="144"/>
      <c r="H36" s="144"/>
      <c r="I36" s="144"/>
      <c r="J36" s="144"/>
      <c r="K36" s="144"/>
      <c r="L36" s="144"/>
      <c r="M36" s="144"/>
    </row>
    <row r="37" spans="1:13" s="22" customFormat="1">
      <c r="A37" s="144"/>
      <c r="B37" s="144"/>
      <c r="C37" s="144"/>
      <c r="D37" s="144"/>
      <c r="E37" s="144"/>
      <c r="F37" s="144"/>
      <c r="G37" s="144"/>
      <c r="H37" s="144"/>
      <c r="I37" s="144"/>
      <c r="J37" s="144"/>
      <c r="K37" s="144"/>
      <c r="L37" s="144"/>
      <c r="M37" s="144"/>
    </row>
    <row r="38" spans="1:13" s="22" customFormat="1">
      <c r="A38" s="144"/>
      <c r="B38" s="144"/>
      <c r="C38" s="144"/>
      <c r="D38" s="144"/>
      <c r="E38" s="144"/>
      <c r="F38" s="144"/>
      <c r="G38" s="144"/>
      <c r="H38" s="144"/>
      <c r="I38" s="144"/>
      <c r="J38" s="144"/>
      <c r="K38" s="144"/>
      <c r="L38" s="144"/>
      <c r="M38" s="144"/>
    </row>
    <row r="39" spans="1:13" s="22" customFormat="1">
      <c r="A39" s="144"/>
      <c r="B39" s="144"/>
      <c r="C39" s="144"/>
      <c r="D39" s="144"/>
      <c r="E39" s="144"/>
      <c r="F39" s="144"/>
      <c r="G39" s="144"/>
      <c r="H39" s="144"/>
      <c r="I39" s="144"/>
      <c r="J39" s="144"/>
      <c r="K39" s="144"/>
      <c r="L39" s="144"/>
      <c r="M39" s="144"/>
    </row>
    <row r="40" spans="1:13" s="22" customFormat="1">
      <c r="A40" s="144"/>
      <c r="B40" s="144"/>
      <c r="C40" s="144"/>
      <c r="D40" s="144"/>
      <c r="E40" s="144"/>
      <c r="F40" s="144"/>
      <c r="G40" s="144"/>
      <c r="H40" s="144"/>
      <c r="I40" s="144"/>
      <c r="J40" s="144"/>
      <c r="K40" s="144"/>
      <c r="L40" s="144"/>
      <c r="M40" s="144"/>
    </row>
    <row r="41" spans="1:13" s="22" customFormat="1">
      <c r="A41" s="144"/>
      <c r="B41" s="144"/>
      <c r="C41" s="144"/>
      <c r="D41" s="144"/>
      <c r="E41" s="144"/>
      <c r="F41" s="144"/>
      <c r="G41" s="144"/>
      <c r="H41" s="144"/>
      <c r="I41" s="144"/>
      <c r="J41" s="144"/>
      <c r="K41" s="144"/>
      <c r="L41" s="144"/>
      <c r="M41" s="144"/>
    </row>
    <row r="42" spans="1:13" s="22" customFormat="1">
      <c r="A42" s="144"/>
      <c r="B42" s="144"/>
      <c r="C42" s="144"/>
      <c r="D42" s="144"/>
      <c r="E42" s="144"/>
      <c r="F42" s="144"/>
      <c r="G42" s="144"/>
      <c r="H42" s="144"/>
      <c r="I42" s="144"/>
      <c r="J42" s="144"/>
      <c r="K42" s="144"/>
      <c r="L42" s="144"/>
      <c r="M42" s="144"/>
    </row>
    <row r="43" spans="1:13" s="22" customFormat="1">
      <c r="A43" s="144"/>
      <c r="B43" s="144"/>
      <c r="C43" s="144"/>
      <c r="D43" s="144"/>
      <c r="E43" s="144"/>
      <c r="F43" s="144"/>
      <c r="G43" s="144"/>
      <c r="H43" s="144"/>
      <c r="I43" s="144"/>
      <c r="J43" s="144"/>
      <c r="K43" s="144"/>
      <c r="L43" s="144"/>
      <c r="M43" s="144"/>
    </row>
    <row r="44" spans="1:13" s="22" customFormat="1">
      <c r="A44" s="144"/>
      <c r="B44" s="144"/>
      <c r="C44" s="144"/>
      <c r="D44" s="144"/>
      <c r="E44" s="144"/>
      <c r="F44" s="144"/>
      <c r="G44" s="144"/>
      <c r="H44" s="144"/>
      <c r="I44" s="144"/>
      <c r="J44" s="144"/>
      <c r="K44" s="144"/>
      <c r="L44" s="144"/>
      <c r="M44" s="144"/>
    </row>
    <row r="45" spans="1:13" s="22" customFormat="1">
      <c r="A45" s="144"/>
      <c r="B45" s="144"/>
      <c r="C45" s="144"/>
      <c r="D45" s="144"/>
      <c r="E45" s="144"/>
      <c r="F45" s="144"/>
      <c r="G45" s="144"/>
      <c r="H45" s="144"/>
      <c r="I45" s="144"/>
      <c r="J45" s="144"/>
      <c r="K45" s="144"/>
      <c r="L45" s="144"/>
      <c r="M45" s="144"/>
    </row>
    <row r="46" spans="1:13" s="22" customFormat="1">
      <c r="A46" s="144"/>
      <c r="B46" s="144"/>
      <c r="C46" s="144"/>
      <c r="D46" s="144"/>
      <c r="E46" s="144"/>
      <c r="F46" s="144"/>
      <c r="G46" s="144"/>
      <c r="H46" s="144"/>
      <c r="I46" s="144"/>
      <c r="J46" s="144"/>
      <c r="K46" s="144"/>
      <c r="L46" s="144"/>
      <c r="M46" s="144"/>
    </row>
    <row r="47" spans="1:13" s="22" customFormat="1">
      <c r="A47" s="144"/>
      <c r="B47" s="144"/>
      <c r="C47" s="144"/>
      <c r="D47" s="144"/>
      <c r="E47" s="144"/>
      <c r="F47" s="144"/>
      <c r="G47" s="144"/>
      <c r="H47" s="144"/>
      <c r="I47" s="144"/>
      <c r="J47" s="144"/>
      <c r="K47" s="144"/>
      <c r="L47" s="144"/>
      <c r="M47" s="144"/>
    </row>
    <row r="48" spans="1:13" s="22" customFormat="1">
      <c r="A48" s="144"/>
      <c r="B48" s="144"/>
      <c r="C48" s="144"/>
      <c r="D48" s="144"/>
      <c r="E48" s="144"/>
      <c r="F48" s="144"/>
      <c r="G48" s="144"/>
      <c r="H48" s="144"/>
      <c r="I48" s="144"/>
      <c r="J48" s="144"/>
      <c r="K48" s="144"/>
      <c r="L48" s="144"/>
      <c r="M48" s="144"/>
    </row>
    <row r="49" spans="1:13" s="22" customFormat="1">
      <c r="A49" s="144"/>
      <c r="B49" s="144"/>
      <c r="C49" s="144"/>
      <c r="D49" s="144"/>
      <c r="E49" s="144"/>
      <c r="F49" s="144"/>
      <c r="G49" s="144"/>
      <c r="H49" s="144"/>
      <c r="I49" s="144"/>
      <c r="J49" s="144"/>
      <c r="K49" s="144"/>
      <c r="L49" s="144"/>
      <c r="M49" s="144"/>
    </row>
    <row r="50" spans="1:13" s="22" customFormat="1">
      <c r="A50" s="144"/>
      <c r="B50" s="144"/>
      <c r="C50" s="144"/>
      <c r="D50" s="144"/>
      <c r="E50" s="144"/>
      <c r="F50" s="144"/>
      <c r="G50" s="144"/>
      <c r="H50" s="144"/>
      <c r="I50" s="144"/>
      <c r="J50" s="144"/>
      <c r="K50" s="144"/>
      <c r="L50" s="144"/>
      <c r="M50" s="144"/>
    </row>
    <row r="51" spans="1:13" s="22" customFormat="1">
      <c r="A51" s="144"/>
      <c r="B51" s="144"/>
      <c r="C51" s="144"/>
      <c r="D51" s="144"/>
      <c r="E51" s="144"/>
      <c r="F51" s="144"/>
      <c r="G51" s="144"/>
      <c r="H51" s="144"/>
      <c r="I51" s="144"/>
      <c r="J51" s="144"/>
      <c r="K51" s="144"/>
      <c r="L51" s="144"/>
      <c r="M51" s="144"/>
    </row>
    <row r="52" spans="1:13" s="22" customFormat="1">
      <c r="A52" s="144"/>
      <c r="B52" s="144"/>
      <c r="C52" s="144"/>
      <c r="D52" s="144"/>
      <c r="E52" s="144"/>
      <c r="F52" s="144"/>
      <c r="G52" s="144"/>
      <c r="H52" s="144"/>
      <c r="I52" s="144"/>
      <c r="J52" s="144"/>
      <c r="K52" s="144"/>
      <c r="L52" s="144"/>
      <c r="M52" s="144"/>
    </row>
    <row r="53" spans="1:13" s="22" customFormat="1">
      <c r="A53" s="144"/>
      <c r="B53" s="144"/>
      <c r="C53" s="144"/>
      <c r="D53" s="144"/>
      <c r="E53" s="144"/>
      <c r="F53" s="144"/>
      <c r="G53" s="144"/>
      <c r="H53" s="144"/>
      <c r="I53" s="144"/>
      <c r="J53" s="144"/>
      <c r="K53" s="144"/>
      <c r="L53" s="144"/>
      <c r="M53" s="144"/>
    </row>
    <row r="54" spans="1:13" s="22" customFormat="1">
      <c r="A54" s="144"/>
      <c r="B54" s="144"/>
      <c r="C54" s="144"/>
      <c r="D54" s="144"/>
      <c r="E54" s="144"/>
      <c r="F54" s="144"/>
      <c r="G54" s="144"/>
      <c r="H54" s="144"/>
      <c r="I54" s="144"/>
      <c r="J54" s="144"/>
      <c r="K54" s="144"/>
      <c r="L54" s="144"/>
      <c r="M54" s="144"/>
    </row>
    <row r="55" spans="1:13" s="22" customFormat="1">
      <c r="A55" s="144"/>
      <c r="B55" s="144"/>
      <c r="C55" s="144"/>
      <c r="D55" s="144"/>
      <c r="E55" s="144"/>
      <c r="F55" s="144"/>
      <c r="G55" s="144"/>
      <c r="H55" s="144"/>
      <c r="I55" s="144"/>
      <c r="J55" s="144"/>
      <c r="K55" s="144"/>
      <c r="L55" s="144"/>
      <c r="M55" s="144"/>
    </row>
    <row r="56" spans="1:13" s="22" customFormat="1">
      <c r="A56" s="144"/>
      <c r="B56" s="144"/>
      <c r="C56" s="144"/>
      <c r="D56" s="144"/>
      <c r="E56" s="144"/>
      <c r="F56" s="144"/>
      <c r="G56" s="144"/>
      <c r="H56" s="144"/>
      <c r="I56" s="144"/>
      <c r="J56" s="144"/>
      <c r="K56" s="144"/>
      <c r="L56" s="144"/>
      <c r="M56" s="144"/>
    </row>
    <row r="57" spans="1:13" s="22" customFormat="1">
      <c r="A57" s="144"/>
      <c r="B57" s="144"/>
      <c r="C57" s="144"/>
      <c r="D57" s="144"/>
      <c r="E57" s="144"/>
      <c r="F57" s="144"/>
      <c r="G57" s="144"/>
      <c r="H57" s="144"/>
      <c r="I57" s="144"/>
      <c r="J57" s="144"/>
      <c r="K57" s="144"/>
      <c r="L57" s="144"/>
      <c r="M57" s="144"/>
    </row>
    <row r="58" spans="1:13" s="22" customFormat="1">
      <c r="A58" s="144"/>
      <c r="B58" s="144"/>
      <c r="C58" s="144"/>
      <c r="D58" s="144"/>
      <c r="E58" s="144"/>
      <c r="F58" s="144"/>
      <c r="G58" s="144"/>
      <c r="H58" s="144"/>
      <c r="I58" s="144"/>
      <c r="J58" s="144"/>
      <c r="K58" s="144"/>
      <c r="L58" s="144"/>
      <c r="M58" s="144"/>
    </row>
    <row r="59" spans="1:13" s="22" customFormat="1">
      <c r="A59" s="144"/>
      <c r="B59" s="144"/>
      <c r="C59" s="144"/>
      <c r="D59" s="144"/>
      <c r="E59" s="144"/>
      <c r="F59" s="144"/>
      <c r="G59" s="144"/>
      <c r="H59" s="144"/>
      <c r="I59" s="144"/>
      <c r="J59" s="144"/>
      <c r="K59" s="144"/>
      <c r="L59" s="144"/>
      <c r="M59" s="144"/>
    </row>
    <row r="60" spans="1:13" s="22" customFormat="1">
      <c r="A60" s="144"/>
      <c r="B60" s="144"/>
      <c r="C60" s="144"/>
      <c r="D60" s="144"/>
      <c r="E60" s="144"/>
      <c r="F60" s="144"/>
      <c r="G60" s="144"/>
      <c r="H60" s="144"/>
      <c r="I60" s="144"/>
      <c r="J60" s="144"/>
      <c r="K60" s="144"/>
      <c r="L60" s="144"/>
      <c r="M60" s="144"/>
    </row>
    <row r="61" spans="1:13" s="22" customFormat="1">
      <c r="A61" s="144"/>
      <c r="B61" s="144"/>
      <c r="C61" s="144"/>
      <c r="D61" s="144"/>
      <c r="E61" s="144"/>
      <c r="F61" s="144"/>
      <c r="G61" s="144"/>
      <c r="H61" s="144"/>
      <c r="I61" s="144"/>
      <c r="J61" s="144"/>
      <c r="K61" s="144"/>
      <c r="L61" s="144"/>
      <c r="M61" s="144"/>
    </row>
    <row r="62" spans="1:13" s="22" customFormat="1" ht="11.25" customHeight="1">
      <c r="A62" s="144"/>
      <c r="B62" s="144"/>
      <c r="C62" s="144"/>
      <c r="D62" s="144"/>
      <c r="E62" s="144"/>
      <c r="F62" s="144"/>
      <c r="G62" s="144"/>
      <c r="H62" s="144"/>
      <c r="I62" s="144"/>
      <c r="J62" s="144"/>
      <c r="K62" s="144"/>
      <c r="L62" s="144"/>
      <c r="M62" s="144"/>
    </row>
    <row r="63" spans="1:13" s="22" customFormat="1">
      <c r="A63" s="144"/>
      <c r="B63" s="144"/>
      <c r="C63" s="212"/>
      <c r="D63" s="144"/>
      <c r="E63" s="144"/>
      <c r="F63" s="144"/>
      <c r="G63" s="144"/>
      <c r="H63" s="144"/>
      <c r="I63" s="144"/>
      <c r="J63" s="144"/>
      <c r="K63" s="144"/>
      <c r="L63" s="144"/>
      <c r="M63" s="144"/>
    </row>
    <row r="64" spans="1:13" s="22" customFormat="1">
      <c r="A64" s="144"/>
      <c r="B64" s="144"/>
      <c r="C64" s="140" t="s">
        <v>6</v>
      </c>
      <c r="D64" s="144"/>
      <c r="E64" s="144"/>
      <c r="F64" s="144"/>
      <c r="G64" s="144"/>
      <c r="H64" s="144"/>
      <c r="I64" s="144"/>
      <c r="J64" s="144"/>
      <c r="K64" s="144"/>
      <c r="L64" s="144"/>
      <c r="M64" s="144"/>
    </row>
    <row r="65" spans="1:13" s="22" customFormat="1">
      <c r="A65" s="144"/>
      <c r="B65" s="144"/>
      <c r="C65" s="212"/>
      <c r="D65" s="144"/>
      <c r="E65" s="144"/>
      <c r="F65" s="144"/>
      <c r="G65" s="144"/>
      <c r="H65" s="144"/>
      <c r="I65" s="144"/>
      <c r="J65" s="144"/>
      <c r="K65" s="144"/>
      <c r="L65" s="144"/>
      <c r="M65" s="144"/>
    </row>
    <row r="66" spans="1:13" s="22" customFormat="1">
      <c r="A66" s="144"/>
      <c r="B66" s="144"/>
      <c r="C66" s="144"/>
      <c r="D66" s="144"/>
      <c r="E66" s="144"/>
      <c r="F66" s="144"/>
      <c r="G66" s="144"/>
      <c r="H66" s="144"/>
      <c r="I66" s="144"/>
      <c r="J66" s="144"/>
      <c r="K66" s="144"/>
      <c r="L66" s="144"/>
      <c r="M66" s="144"/>
    </row>
    <row r="67" spans="1:13" s="22" customFormat="1">
      <c r="A67" s="144"/>
      <c r="B67" s="144"/>
      <c r="C67" s="144"/>
      <c r="D67" s="144"/>
      <c r="E67" s="144"/>
      <c r="F67" s="144"/>
      <c r="G67" s="144"/>
      <c r="H67" s="144"/>
      <c r="I67" s="144"/>
      <c r="J67" s="144"/>
      <c r="K67" s="144"/>
      <c r="L67" s="144"/>
      <c r="M67" s="144"/>
    </row>
    <row r="68" spans="1:13" s="22" customFormat="1">
      <c r="A68" s="144"/>
      <c r="B68" s="144"/>
      <c r="C68" s="144"/>
      <c r="D68" s="144"/>
      <c r="E68" s="144"/>
      <c r="F68" s="144"/>
      <c r="G68" s="144"/>
      <c r="H68" s="144"/>
      <c r="I68" s="144"/>
      <c r="J68" s="144"/>
      <c r="K68" s="144"/>
      <c r="L68" s="144"/>
      <c r="M68" s="144"/>
    </row>
    <row r="69" spans="1:13" s="22" customFormat="1">
      <c r="A69" s="144"/>
      <c r="B69" s="144"/>
      <c r="C69" s="144"/>
      <c r="D69" s="144"/>
      <c r="E69" s="144"/>
      <c r="F69" s="144"/>
      <c r="G69" s="144"/>
      <c r="H69" s="144"/>
      <c r="I69" s="144"/>
      <c r="J69" s="144"/>
    </row>
    <row r="70" spans="1:13" s="22" customFormat="1">
      <c r="A70" s="144"/>
      <c r="B70" s="144"/>
      <c r="C70" s="144"/>
      <c r="D70" s="144"/>
      <c r="E70" s="144"/>
      <c r="F70" s="144"/>
      <c r="G70" s="144"/>
      <c r="H70" s="144"/>
      <c r="I70" s="144"/>
      <c r="J70" s="144"/>
    </row>
    <row r="71" spans="1:13" s="22" customFormat="1">
      <c r="A71" s="144"/>
      <c r="B71" s="144"/>
      <c r="C71" s="144"/>
      <c r="D71" s="144"/>
      <c r="E71" s="144"/>
      <c r="F71" s="144"/>
      <c r="G71" s="144"/>
      <c r="H71" s="144"/>
      <c r="I71" s="144"/>
      <c r="J71" s="144"/>
    </row>
    <row r="72" spans="1:13" s="22" customFormat="1">
      <c r="A72" s="144"/>
      <c r="B72" s="144"/>
      <c r="C72" s="144"/>
      <c r="D72" s="144"/>
      <c r="E72" s="144"/>
      <c r="F72" s="144"/>
      <c r="G72" s="144"/>
      <c r="H72" s="144"/>
      <c r="I72" s="144"/>
      <c r="J72" s="144"/>
    </row>
    <row r="73" spans="1:13" s="22" customFormat="1">
      <c r="A73" s="144"/>
      <c r="B73" s="144"/>
      <c r="C73" s="144"/>
      <c r="D73" s="144"/>
      <c r="E73" s="144"/>
      <c r="F73" s="144"/>
      <c r="G73" s="144"/>
      <c r="H73" s="144"/>
      <c r="I73" s="144"/>
      <c r="J73" s="144"/>
    </row>
    <row r="74" spans="1:13" s="22" customFormat="1"/>
    <row r="75" spans="1:13" s="22" customFormat="1"/>
    <row r="76" spans="1:13" s="22" customFormat="1"/>
    <row r="77" spans="1:13" s="22" customFormat="1"/>
    <row r="78" spans="1:13" s="22" customFormat="1"/>
    <row r="79" spans="1:13" s="22" customFormat="1"/>
    <row r="80" spans="1:13" s="22" customFormat="1"/>
    <row r="81" spans="5:8" s="22" customFormat="1"/>
    <row r="82" spans="5:8" s="22" customFormat="1"/>
    <row r="83" spans="5:8" s="22" customFormat="1"/>
    <row r="84" spans="5:8" s="22" customFormat="1"/>
    <row r="85" spans="5:8" s="22" customFormat="1"/>
    <row r="86" spans="5:8" s="22" customFormat="1"/>
    <row r="87" spans="5:8" s="22" customFormat="1"/>
    <row r="88" spans="5:8" s="22" customFormat="1"/>
    <row r="89" spans="5:8" s="22" customFormat="1"/>
    <row r="90" spans="5:8" s="22" customFormat="1"/>
    <row r="91" spans="5:8" s="22" customFormat="1"/>
    <row r="92" spans="5:8" s="22" customFormat="1"/>
    <row r="93" spans="5:8" s="22" customFormat="1">
      <c r="E93"/>
      <c r="F93"/>
    </row>
    <row r="94" spans="5:8" s="22" customFormat="1">
      <c r="E94"/>
      <c r="F94"/>
      <c r="H94"/>
    </row>
  </sheetData>
  <sheetProtection algorithmName="SHA-512" hashValue="0Wt2tWUO3olrfrUcuTjzvHguvZnK1J9IvEvODI4UALUwHiudidW0g/SLRwpQrd+OskwBWER9TqCuPARxwRcfrw==" saltValue="YY2tKR+HDbj9vJcHILqCZA==" spinCount="100000" sheet="1" objects="1" scenarios="1"/>
  <customSheetViews>
    <customSheetView guid="{52A26A5D-FD00-480B-943F-DB06B537D6D8}" scale="90" topLeftCell="A19">
      <selection activeCell="C65" sqref="C65"/>
      <pageMargins left="0" right="0" top="0" bottom="0" header="0" footer="0"/>
      <pageSetup scale="51" orientation="portrait" r:id="rId1"/>
    </customSheetView>
    <customSheetView guid="{EF22FA0B-F747-41C1-93DE-56651BBC6020}" scale="90" topLeftCell="A40">
      <selection activeCell="D22" sqref="D22"/>
      <pageMargins left="0" right="0" top="0" bottom="0" header="0" footer="0"/>
      <pageSetup scale="51" orientation="portrait" r:id="rId2"/>
    </customSheetView>
  </customSheetViews>
  <pageMargins left="0.7" right="0.7" top="0.75" bottom="0.75" header="0.3" footer="0.3"/>
  <pageSetup scale="5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7806F-51DB-48FB-B0A5-4CE0018CCAA7}">
  <sheetPr codeName="Sheet1"/>
  <dimension ref="A1:AV104"/>
  <sheetViews>
    <sheetView zoomScale="80" zoomScaleNormal="80" workbookViewId="0"/>
  </sheetViews>
  <sheetFormatPr defaultColWidth="8.81640625" defaultRowHeight="14.5"/>
  <cols>
    <col min="1" max="1" width="3" style="144" customWidth="1"/>
    <col min="2" max="2" width="1.81640625" style="144" customWidth="1"/>
    <col min="3" max="3" width="70.54296875" style="144" customWidth="1"/>
    <col min="4" max="7" width="26.7265625" style="144" customWidth="1"/>
    <col min="8" max="8" width="8.7265625" style="144"/>
    <col min="9" max="48" width="8.7265625" style="22"/>
  </cols>
  <sheetData>
    <row r="1" spans="3:7" ht="31.5" customHeight="1">
      <c r="C1" s="213"/>
    </row>
    <row r="4" spans="3:7" ht="31" customHeight="1">
      <c r="C4" s="213"/>
    </row>
    <row r="5" spans="3:7" ht="31" customHeight="1">
      <c r="C5" s="213"/>
    </row>
    <row r="6" spans="3:7" ht="31" customHeight="1">
      <c r="C6" s="213"/>
    </row>
    <row r="7" spans="3:7" ht="31" customHeight="1">
      <c r="C7" s="213"/>
    </row>
    <row r="8" spans="3:7" ht="13" customHeight="1">
      <c r="C8" s="213"/>
    </row>
    <row r="9" spans="3:7" ht="26.5" customHeight="1">
      <c r="C9" s="507" t="s">
        <v>7</v>
      </c>
      <c r="D9" s="508" t="s">
        <v>8</v>
      </c>
      <c r="E9" s="508" t="s">
        <v>9</v>
      </c>
      <c r="F9" s="508" t="s">
        <v>10</v>
      </c>
      <c r="G9" s="509" t="s">
        <v>11</v>
      </c>
    </row>
    <row r="10" spans="3:7" ht="23.5" customHeight="1">
      <c r="C10" s="533" t="s">
        <v>12</v>
      </c>
      <c r="D10" s="534"/>
      <c r="E10" s="534"/>
      <c r="F10" s="534"/>
      <c r="G10" s="535"/>
    </row>
    <row r="11" spans="3:7" ht="16.5" customHeight="1">
      <c r="C11" s="510" t="s">
        <v>13</v>
      </c>
      <c r="D11" s="511" t="s">
        <v>14</v>
      </c>
      <c r="E11" s="511" t="s">
        <v>14</v>
      </c>
      <c r="F11" s="511" t="s">
        <v>14</v>
      </c>
      <c r="G11" s="512">
        <v>2</v>
      </c>
    </row>
    <row r="12" spans="3:7" ht="16.5" customHeight="1">
      <c r="C12" s="513" t="s">
        <v>15</v>
      </c>
      <c r="D12" s="514" t="s">
        <v>14</v>
      </c>
      <c r="E12" s="514" t="s">
        <v>16</v>
      </c>
      <c r="F12" s="514" t="s">
        <v>14</v>
      </c>
      <c r="G12" s="515">
        <v>2</v>
      </c>
    </row>
    <row r="13" spans="3:7" ht="16.5" customHeight="1">
      <c r="C13" s="510" t="s">
        <v>17</v>
      </c>
      <c r="D13" s="511" t="s">
        <v>14</v>
      </c>
      <c r="E13" s="511" t="s">
        <v>14</v>
      </c>
      <c r="F13" s="511" t="s">
        <v>14</v>
      </c>
      <c r="G13" s="512">
        <v>2</v>
      </c>
    </row>
    <row r="14" spans="3:7" ht="16.5" customHeight="1">
      <c r="C14" s="513" t="s">
        <v>18</v>
      </c>
      <c r="D14" s="514" t="s">
        <v>14</v>
      </c>
      <c r="E14" s="514" t="s">
        <v>14</v>
      </c>
      <c r="F14" s="514" t="s">
        <v>14</v>
      </c>
      <c r="G14" s="515">
        <v>2</v>
      </c>
    </row>
    <row r="15" spans="3:7" ht="16.5" customHeight="1">
      <c r="C15" s="510" t="s">
        <v>19</v>
      </c>
      <c r="D15" s="511" t="s">
        <v>16</v>
      </c>
      <c r="E15" s="511" t="s">
        <v>14</v>
      </c>
      <c r="F15" s="511" t="s">
        <v>14</v>
      </c>
      <c r="G15" s="512">
        <v>0.5</v>
      </c>
    </row>
    <row r="16" spans="3:7" ht="16.5" customHeight="1">
      <c r="C16" s="513" t="s">
        <v>20</v>
      </c>
      <c r="D16" s="514" t="s">
        <v>16</v>
      </c>
      <c r="E16" s="514" t="s">
        <v>14</v>
      </c>
      <c r="F16" s="514" t="s">
        <v>14</v>
      </c>
      <c r="G16" s="515">
        <v>1</v>
      </c>
    </row>
    <row r="17" spans="3:7" ht="16.5" customHeight="1">
      <c r="C17" s="510" t="s">
        <v>21</v>
      </c>
      <c r="D17" s="511" t="s">
        <v>16</v>
      </c>
      <c r="E17" s="511" t="s">
        <v>14</v>
      </c>
      <c r="F17" s="511" t="s">
        <v>14</v>
      </c>
      <c r="G17" s="512">
        <v>1</v>
      </c>
    </row>
    <row r="18" spans="3:7" ht="16.5" customHeight="1">
      <c r="C18" s="513" t="s">
        <v>22</v>
      </c>
      <c r="D18" s="514" t="s">
        <v>14</v>
      </c>
      <c r="E18" s="514" t="s">
        <v>14</v>
      </c>
      <c r="F18" s="514" t="s">
        <v>16</v>
      </c>
      <c r="G18" s="515">
        <v>1</v>
      </c>
    </row>
    <row r="19" spans="3:7" ht="16.5" customHeight="1">
      <c r="C19" s="510" t="s">
        <v>23</v>
      </c>
      <c r="D19" s="511" t="s">
        <v>14</v>
      </c>
      <c r="E19" s="511" t="s">
        <v>14</v>
      </c>
      <c r="F19" s="511" t="s">
        <v>16</v>
      </c>
      <c r="G19" s="512">
        <v>0.5</v>
      </c>
    </row>
    <row r="20" spans="3:7" ht="16.5" customHeight="1">
      <c r="C20" s="513" t="s">
        <v>24</v>
      </c>
      <c r="D20" s="514" t="s">
        <v>16</v>
      </c>
      <c r="E20" s="514" t="s">
        <v>14</v>
      </c>
      <c r="F20" s="514" t="s">
        <v>16</v>
      </c>
      <c r="G20" s="515">
        <v>1.5</v>
      </c>
    </row>
    <row r="21" spans="3:7" ht="16.5" customHeight="1">
      <c r="C21" s="510" t="s">
        <v>25</v>
      </c>
      <c r="D21" s="511" t="s">
        <v>14</v>
      </c>
      <c r="E21" s="511" t="s">
        <v>14</v>
      </c>
      <c r="F21" s="511" t="s">
        <v>16</v>
      </c>
      <c r="G21" s="512">
        <v>0.5</v>
      </c>
    </row>
    <row r="22" spans="3:7" ht="16.5" customHeight="1">
      <c r="C22" s="513" t="s">
        <v>26</v>
      </c>
      <c r="D22" s="514" t="s">
        <v>14</v>
      </c>
      <c r="E22" s="514" t="s">
        <v>14</v>
      </c>
      <c r="F22" s="514" t="s">
        <v>16</v>
      </c>
      <c r="G22" s="515">
        <v>1</v>
      </c>
    </row>
    <row r="23" spans="3:7" ht="23.5" customHeight="1">
      <c r="C23" s="533" t="s">
        <v>254</v>
      </c>
      <c r="D23" s="534"/>
      <c r="E23" s="534"/>
      <c r="F23" s="534"/>
      <c r="G23" s="535"/>
    </row>
    <row r="24" spans="3:7" ht="16.5" customHeight="1">
      <c r="C24" s="510" t="s">
        <v>27</v>
      </c>
      <c r="D24" s="511" t="s">
        <v>14</v>
      </c>
      <c r="E24" s="511" t="s">
        <v>14</v>
      </c>
      <c r="F24" s="511" t="s">
        <v>14</v>
      </c>
      <c r="G24" s="512">
        <v>6</v>
      </c>
    </row>
    <row r="25" spans="3:7" ht="16.5" customHeight="1">
      <c r="C25" s="513" t="s">
        <v>28</v>
      </c>
      <c r="D25" s="514" t="s">
        <v>14</v>
      </c>
      <c r="E25" s="514" t="s">
        <v>14</v>
      </c>
      <c r="F25" s="514" t="s">
        <v>14</v>
      </c>
      <c r="G25" s="515">
        <v>1</v>
      </c>
    </row>
    <row r="26" spans="3:7" ht="16.5" customHeight="1">
      <c r="C26" s="510" t="s">
        <v>29</v>
      </c>
      <c r="D26" s="511" t="s">
        <v>14</v>
      </c>
      <c r="E26" s="511" t="s">
        <v>14</v>
      </c>
      <c r="F26" s="511" t="s">
        <v>16</v>
      </c>
      <c r="G26" s="512">
        <v>1</v>
      </c>
    </row>
    <row r="27" spans="3:7" ht="16.5" customHeight="1">
      <c r="C27" s="513" t="s">
        <v>30</v>
      </c>
      <c r="D27" s="514" t="s">
        <v>14</v>
      </c>
      <c r="E27" s="514" t="s">
        <v>14</v>
      </c>
      <c r="F27" s="514" t="s">
        <v>16</v>
      </c>
      <c r="G27" s="515">
        <v>1</v>
      </c>
    </row>
    <row r="28" spans="3:7" ht="16.5" customHeight="1">
      <c r="C28" s="510" t="s">
        <v>31</v>
      </c>
      <c r="D28" s="511" t="s">
        <v>14</v>
      </c>
      <c r="E28" s="511" t="s">
        <v>14</v>
      </c>
      <c r="F28" s="511" t="s">
        <v>14</v>
      </c>
      <c r="G28" s="512">
        <v>1</v>
      </c>
    </row>
    <row r="29" spans="3:7" ht="16.5" customHeight="1">
      <c r="C29" s="513" t="s">
        <v>32</v>
      </c>
      <c r="D29" s="514" t="s">
        <v>14</v>
      </c>
      <c r="E29" s="514" t="s">
        <v>14</v>
      </c>
      <c r="F29" s="514" t="s">
        <v>14</v>
      </c>
      <c r="G29" s="515">
        <v>1</v>
      </c>
    </row>
    <row r="30" spans="3:7" ht="16.5" customHeight="1">
      <c r="C30" s="510" t="s">
        <v>33</v>
      </c>
      <c r="D30" s="511" t="s">
        <v>14</v>
      </c>
      <c r="E30" s="511" t="s">
        <v>14</v>
      </c>
      <c r="F30" s="511" t="s">
        <v>14</v>
      </c>
      <c r="G30" s="512">
        <v>1</v>
      </c>
    </row>
    <row r="31" spans="3:7" ht="16.5" customHeight="1">
      <c r="C31" s="513" t="s">
        <v>34</v>
      </c>
      <c r="D31" s="514" t="s">
        <v>14</v>
      </c>
      <c r="E31" s="514" t="s">
        <v>14</v>
      </c>
      <c r="F31" s="514" t="s">
        <v>14</v>
      </c>
      <c r="G31" s="515">
        <v>1</v>
      </c>
    </row>
    <row r="32" spans="3:7" ht="16.5" customHeight="1">
      <c r="C32" s="510" t="s">
        <v>35</v>
      </c>
      <c r="D32" s="511" t="s">
        <v>14</v>
      </c>
      <c r="E32" s="511" t="s">
        <v>14</v>
      </c>
      <c r="F32" s="511" t="s">
        <v>14</v>
      </c>
      <c r="G32" s="512" t="s">
        <v>36</v>
      </c>
    </row>
    <row r="33" spans="3:7" ht="16.5" customHeight="1">
      <c r="C33" s="513" t="s">
        <v>37</v>
      </c>
      <c r="D33" s="514" t="s">
        <v>14</v>
      </c>
      <c r="E33" s="514" t="s">
        <v>14</v>
      </c>
      <c r="F33" s="514" t="s">
        <v>14</v>
      </c>
      <c r="G33" s="515" t="s">
        <v>36</v>
      </c>
    </row>
    <row r="34" spans="3:7" ht="16.5" customHeight="1">
      <c r="C34" s="510" t="s">
        <v>38</v>
      </c>
      <c r="D34" s="511" t="s">
        <v>16</v>
      </c>
      <c r="E34" s="511" t="s">
        <v>14</v>
      </c>
      <c r="F34" s="511" t="s">
        <v>14</v>
      </c>
      <c r="G34" s="512" t="s">
        <v>36</v>
      </c>
    </row>
    <row r="35" spans="3:7" ht="16.5" customHeight="1">
      <c r="C35" s="513" t="s">
        <v>39</v>
      </c>
      <c r="D35" s="514" t="s">
        <v>16</v>
      </c>
      <c r="E35" s="514" t="s">
        <v>14</v>
      </c>
      <c r="F35" s="514" t="s">
        <v>16</v>
      </c>
      <c r="G35" s="515" t="s">
        <v>40</v>
      </c>
    </row>
    <row r="36" spans="3:7" ht="16.5" customHeight="1">
      <c r="C36" s="510" t="s">
        <v>41</v>
      </c>
      <c r="D36" s="511" t="s">
        <v>14</v>
      </c>
      <c r="E36" s="511" t="s">
        <v>14</v>
      </c>
      <c r="F36" s="511" t="s">
        <v>16</v>
      </c>
      <c r="G36" s="512" t="s">
        <v>42</v>
      </c>
    </row>
    <row r="37" spans="3:7" ht="16.5" customHeight="1">
      <c r="C37" s="513" t="s">
        <v>43</v>
      </c>
      <c r="D37" s="514" t="s">
        <v>16</v>
      </c>
      <c r="E37" s="514" t="s">
        <v>14</v>
      </c>
      <c r="F37" s="514" t="s">
        <v>16</v>
      </c>
      <c r="G37" s="515" t="s">
        <v>44</v>
      </c>
    </row>
    <row r="38" spans="3:7" ht="16.5" customHeight="1">
      <c r="C38" s="510" t="s">
        <v>45</v>
      </c>
      <c r="D38" s="511" t="s">
        <v>14</v>
      </c>
      <c r="E38" s="511" t="s">
        <v>14</v>
      </c>
      <c r="F38" s="511" t="s">
        <v>16</v>
      </c>
      <c r="G38" s="512" t="s">
        <v>46</v>
      </c>
    </row>
    <row r="39" spans="3:7" ht="16.5" customHeight="1">
      <c r="C39" s="513" t="s">
        <v>47</v>
      </c>
      <c r="D39" s="514" t="s">
        <v>14</v>
      </c>
      <c r="E39" s="514" t="s">
        <v>14</v>
      </c>
      <c r="F39" s="514" t="s">
        <v>16</v>
      </c>
      <c r="G39" s="515" t="s">
        <v>46</v>
      </c>
    </row>
    <row r="40" spans="3:7" ht="16.5" customHeight="1">
      <c r="C40" s="510" t="s">
        <v>48</v>
      </c>
      <c r="D40" s="511" t="s">
        <v>14</v>
      </c>
      <c r="E40" s="511" t="s">
        <v>14</v>
      </c>
      <c r="F40" s="511" t="s">
        <v>14</v>
      </c>
      <c r="G40" s="512" t="s">
        <v>49</v>
      </c>
    </row>
    <row r="41" spans="3:7" ht="16.5" customHeight="1">
      <c r="C41" s="513" t="s">
        <v>50</v>
      </c>
      <c r="D41" s="514" t="s">
        <v>14</v>
      </c>
      <c r="E41" s="514" t="s">
        <v>14</v>
      </c>
      <c r="F41" s="514" t="s">
        <v>14</v>
      </c>
      <c r="G41" s="515" t="s">
        <v>36</v>
      </c>
    </row>
    <row r="42" spans="3:7" ht="16.5" customHeight="1">
      <c r="C42" s="510" t="s">
        <v>51</v>
      </c>
      <c r="D42" s="511" t="s">
        <v>14</v>
      </c>
      <c r="E42" s="511" t="s">
        <v>14</v>
      </c>
      <c r="F42" s="511" t="s">
        <v>14</v>
      </c>
      <c r="G42" s="512" t="s">
        <v>49</v>
      </c>
    </row>
    <row r="43" spans="3:7" ht="16.5" customHeight="1">
      <c r="C43" s="513" t="s">
        <v>52</v>
      </c>
      <c r="D43" s="514" t="s">
        <v>14</v>
      </c>
      <c r="E43" s="514" t="s">
        <v>14</v>
      </c>
      <c r="F43" s="514" t="s">
        <v>14</v>
      </c>
      <c r="G43" s="515" t="s">
        <v>46</v>
      </c>
    </row>
    <row r="44" spans="3:7" ht="16.5" customHeight="1">
      <c r="C44" s="510" t="s">
        <v>53</v>
      </c>
      <c r="D44" s="511" t="s">
        <v>14</v>
      </c>
      <c r="E44" s="511" t="s">
        <v>16</v>
      </c>
      <c r="F44" s="511" t="s">
        <v>14</v>
      </c>
      <c r="G44" s="512" t="s">
        <v>40</v>
      </c>
    </row>
    <row r="45" spans="3:7" ht="16.5" customHeight="1">
      <c r="C45" s="513" t="s">
        <v>54</v>
      </c>
      <c r="D45" s="514" t="s">
        <v>14</v>
      </c>
      <c r="E45" s="514" t="s">
        <v>14</v>
      </c>
      <c r="F45" s="514" t="s">
        <v>14</v>
      </c>
      <c r="G45" s="515" t="s">
        <v>36</v>
      </c>
    </row>
    <row r="46" spans="3:7" ht="16.5" customHeight="1">
      <c r="C46" s="510" t="s">
        <v>55</v>
      </c>
      <c r="D46" s="511" t="s">
        <v>16</v>
      </c>
      <c r="E46" s="511" t="s">
        <v>14</v>
      </c>
      <c r="F46" s="511" t="s">
        <v>14</v>
      </c>
      <c r="G46" s="512" t="s">
        <v>36</v>
      </c>
    </row>
    <row r="47" spans="3:7" ht="16.5" customHeight="1">
      <c r="C47" s="513" t="s">
        <v>56</v>
      </c>
      <c r="D47" s="514" t="s">
        <v>14</v>
      </c>
      <c r="E47" s="514" t="s">
        <v>14</v>
      </c>
      <c r="F47" s="514" t="s">
        <v>14</v>
      </c>
      <c r="G47" s="515" t="s">
        <v>49</v>
      </c>
    </row>
    <row r="48" spans="3:7" ht="16.5" customHeight="1">
      <c r="C48" s="510" t="s">
        <v>57</v>
      </c>
      <c r="D48" s="511" t="s">
        <v>14</v>
      </c>
      <c r="E48" s="511" t="s">
        <v>14</v>
      </c>
      <c r="F48" s="511" t="s">
        <v>14</v>
      </c>
      <c r="G48" s="512">
        <v>0.5</v>
      </c>
    </row>
    <row r="49" spans="3:7" ht="16.5" customHeight="1">
      <c r="C49" s="513" t="s">
        <v>58</v>
      </c>
      <c r="D49" s="514" t="s">
        <v>16</v>
      </c>
      <c r="E49" s="514" t="s">
        <v>14</v>
      </c>
      <c r="F49" s="514" t="s">
        <v>14</v>
      </c>
      <c r="G49" s="515">
        <v>0.5</v>
      </c>
    </row>
    <row r="50" spans="3:7" ht="16.5" customHeight="1">
      <c r="C50" s="510" t="s">
        <v>59</v>
      </c>
      <c r="D50" s="511" t="s">
        <v>14</v>
      </c>
      <c r="E50" s="511" t="s">
        <v>14</v>
      </c>
      <c r="F50" s="511" t="s">
        <v>14</v>
      </c>
      <c r="G50" s="512">
        <v>0.5</v>
      </c>
    </row>
    <row r="51" spans="3:7" ht="16.5" customHeight="1">
      <c r="C51" s="513" t="s">
        <v>60</v>
      </c>
      <c r="D51" s="514" t="s">
        <v>16</v>
      </c>
      <c r="E51" s="514" t="s">
        <v>14</v>
      </c>
      <c r="F51" s="514" t="s">
        <v>14</v>
      </c>
      <c r="G51" s="515">
        <v>0.5</v>
      </c>
    </row>
    <row r="52" spans="3:7" ht="23.5" customHeight="1">
      <c r="C52" s="533" t="s">
        <v>61</v>
      </c>
      <c r="D52" s="534"/>
      <c r="E52" s="534"/>
      <c r="F52" s="534"/>
      <c r="G52" s="535"/>
    </row>
    <row r="53" spans="3:7" ht="16.5" customHeight="1">
      <c r="C53" s="510" t="s">
        <v>62</v>
      </c>
      <c r="D53" s="511" t="s">
        <v>14</v>
      </c>
      <c r="E53" s="511" t="s">
        <v>14</v>
      </c>
      <c r="F53" s="511" t="s">
        <v>16</v>
      </c>
      <c r="G53" s="512">
        <v>1</v>
      </c>
    </row>
    <row r="54" spans="3:7" ht="16.5" customHeight="1">
      <c r="C54" s="513" t="s">
        <v>63</v>
      </c>
      <c r="D54" s="514" t="s">
        <v>14</v>
      </c>
      <c r="E54" s="514" t="s">
        <v>14</v>
      </c>
      <c r="F54" s="514" t="s">
        <v>14</v>
      </c>
      <c r="G54" s="515">
        <v>1</v>
      </c>
    </row>
    <row r="55" spans="3:7" ht="16.5" customHeight="1">
      <c r="C55" s="510" t="s">
        <v>64</v>
      </c>
      <c r="D55" s="511" t="s">
        <v>14</v>
      </c>
      <c r="E55" s="511" t="s">
        <v>14</v>
      </c>
      <c r="F55" s="511" t="s">
        <v>14</v>
      </c>
      <c r="G55" s="512">
        <v>1</v>
      </c>
    </row>
    <row r="56" spans="3:7" ht="16.5" customHeight="1">
      <c r="C56" s="513" t="s">
        <v>65</v>
      </c>
      <c r="D56" s="514" t="s">
        <v>14</v>
      </c>
      <c r="E56" s="514" t="s">
        <v>16</v>
      </c>
      <c r="F56" s="514" t="s">
        <v>14</v>
      </c>
      <c r="G56" s="515">
        <v>1</v>
      </c>
    </row>
    <row r="57" spans="3:7" ht="16.5" customHeight="1">
      <c r="C57" s="510" t="s">
        <v>66</v>
      </c>
      <c r="D57" s="511" t="s">
        <v>14</v>
      </c>
      <c r="E57" s="511" t="s">
        <v>14</v>
      </c>
      <c r="F57" s="511" t="s">
        <v>16</v>
      </c>
      <c r="G57" s="512">
        <v>2</v>
      </c>
    </row>
    <row r="58" spans="3:7" ht="16.5" customHeight="1">
      <c r="C58" s="513" t="s">
        <v>67</v>
      </c>
      <c r="D58" s="514" t="s">
        <v>14</v>
      </c>
      <c r="E58" s="514" t="s">
        <v>14</v>
      </c>
      <c r="F58" s="514" t="s">
        <v>16</v>
      </c>
      <c r="G58" s="515">
        <v>2</v>
      </c>
    </row>
    <row r="59" spans="3:7" ht="16.5" customHeight="1">
      <c r="C59" s="510" t="s">
        <v>68</v>
      </c>
      <c r="D59" s="511" t="s">
        <v>14</v>
      </c>
      <c r="E59" s="511" t="s">
        <v>14</v>
      </c>
      <c r="F59" s="511" t="s">
        <v>16</v>
      </c>
      <c r="G59" s="512">
        <v>2</v>
      </c>
    </row>
    <row r="60" spans="3:7" ht="16.5" customHeight="1">
      <c r="C60" s="513" t="s">
        <v>69</v>
      </c>
      <c r="D60" s="514" t="s">
        <v>14</v>
      </c>
      <c r="E60" s="514" t="s">
        <v>14</v>
      </c>
      <c r="F60" s="514" t="s">
        <v>16</v>
      </c>
      <c r="G60" s="515">
        <v>1</v>
      </c>
    </row>
    <row r="61" spans="3:7" ht="16.5" customHeight="1">
      <c r="C61" s="510" t="s">
        <v>70</v>
      </c>
      <c r="D61" s="511" t="s">
        <v>14</v>
      </c>
      <c r="E61" s="511" t="s">
        <v>16</v>
      </c>
      <c r="F61" s="511" t="s">
        <v>16</v>
      </c>
      <c r="G61" s="512">
        <v>1</v>
      </c>
    </row>
    <row r="62" spans="3:7" ht="16.5" customHeight="1">
      <c r="C62" s="513" t="s">
        <v>71</v>
      </c>
      <c r="D62" s="514" t="s">
        <v>14</v>
      </c>
      <c r="E62" s="514" t="s">
        <v>14</v>
      </c>
      <c r="F62" s="514" t="s">
        <v>16</v>
      </c>
      <c r="G62" s="515">
        <v>1</v>
      </c>
    </row>
    <row r="63" spans="3:7" ht="16.5" customHeight="1">
      <c r="C63" s="510" t="s">
        <v>72</v>
      </c>
      <c r="D63" s="511" t="s">
        <v>14</v>
      </c>
      <c r="E63" s="511" t="s">
        <v>16</v>
      </c>
      <c r="F63" s="511" t="s">
        <v>16</v>
      </c>
      <c r="G63" s="512">
        <v>1</v>
      </c>
    </row>
    <row r="64" spans="3:7" ht="16.5" customHeight="1">
      <c r="C64" s="513" t="s">
        <v>73</v>
      </c>
      <c r="D64" s="514" t="s">
        <v>14</v>
      </c>
      <c r="E64" s="514" t="s">
        <v>16</v>
      </c>
      <c r="F64" s="514" t="s">
        <v>16</v>
      </c>
      <c r="G64" s="515">
        <v>2</v>
      </c>
    </row>
    <row r="65" spans="3:7" ht="16.5" customHeight="1">
      <c r="C65" s="510" t="s">
        <v>74</v>
      </c>
      <c r="D65" s="511" t="s">
        <v>14</v>
      </c>
      <c r="E65" s="511" t="s">
        <v>16</v>
      </c>
      <c r="F65" s="511" t="s">
        <v>16</v>
      </c>
      <c r="G65" s="512">
        <v>2</v>
      </c>
    </row>
    <row r="66" spans="3:7" ht="16.5" customHeight="1">
      <c r="C66" s="513" t="s">
        <v>75</v>
      </c>
      <c r="D66" s="514" t="s">
        <v>14</v>
      </c>
      <c r="E66" s="514" t="s">
        <v>14</v>
      </c>
      <c r="F66" s="514" t="s">
        <v>16</v>
      </c>
      <c r="G66" s="515">
        <v>1</v>
      </c>
    </row>
    <row r="67" spans="3:7" ht="16.5" customHeight="1">
      <c r="C67" s="510" t="s">
        <v>76</v>
      </c>
      <c r="D67" s="511" t="s">
        <v>14</v>
      </c>
      <c r="E67" s="511" t="s">
        <v>14</v>
      </c>
      <c r="F67" s="511" t="s">
        <v>16</v>
      </c>
      <c r="G67" s="512">
        <v>1</v>
      </c>
    </row>
    <row r="68" spans="3:7" ht="16.5" customHeight="1">
      <c r="C68" s="513" t="s">
        <v>77</v>
      </c>
      <c r="D68" s="514" t="s">
        <v>14</v>
      </c>
      <c r="E68" s="514" t="s">
        <v>16</v>
      </c>
      <c r="F68" s="514" t="s">
        <v>16</v>
      </c>
      <c r="G68" s="515">
        <v>1</v>
      </c>
    </row>
    <row r="69" spans="3:7" ht="16.5" customHeight="1">
      <c r="C69" s="510" t="s">
        <v>78</v>
      </c>
      <c r="D69" s="511" t="s">
        <v>14</v>
      </c>
      <c r="E69" s="511" t="s">
        <v>14</v>
      </c>
      <c r="F69" s="511" t="s">
        <v>16</v>
      </c>
      <c r="G69" s="512">
        <v>0.5</v>
      </c>
    </row>
    <row r="70" spans="3:7" ht="16.5" customHeight="1">
      <c r="C70" s="513" t="s">
        <v>79</v>
      </c>
      <c r="D70" s="514" t="s">
        <v>14</v>
      </c>
      <c r="E70" s="514" t="s">
        <v>14</v>
      </c>
      <c r="F70" s="514" t="s">
        <v>16</v>
      </c>
      <c r="G70" s="515">
        <v>0.5</v>
      </c>
    </row>
    <row r="71" spans="3:7" ht="16.5" customHeight="1">
      <c r="C71" s="510" t="s">
        <v>80</v>
      </c>
      <c r="D71" s="511" t="s">
        <v>14</v>
      </c>
      <c r="E71" s="511" t="s">
        <v>14</v>
      </c>
      <c r="F71" s="511" t="s">
        <v>16</v>
      </c>
      <c r="G71" s="512">
        <v>2</v>
      </c>
    </row>
    <row r="72" spans="3:7" ht="16.5" customHeight="1">
      <c r="C72" s="513" t="s">
        <v>81</v>
      </c>
      <c r="D72" s="514" t="s">
        <v>16</v>
      </c>
      <c r="E72" s="514" t="s">
        <v>14</v>
      </c>
      <c r="F72" s="514" t="s">
        <v>16</v>
      </c>
      <c r="G72" s="515">
        <v>2</v>
      </c>
    </row>
    <row r="73" spans="3:7" ht="16.5" customHeight="1">
      <c r="C73" s="510" t="s">
        <v>82</v>
      </c>
      <c r="D73" s="511" t="s">
        <v>16</v>
      </c>
      <c r="E73" s="511" t="s">
        <v>14</v>
      </c>
      <c r="F73" s="511" t="s">
        <v>16</v>
      </c>
      <c r="G73" s="512">
        <v>2</v>
      </c>
    </row>
    <row r="74" spans="3:7" ht="16.5" customHeight="1">
      <c r="C74" s="513" t="s">
        <v>83</v>
      </c>
      <c r="D74" s="514" t="s">
        <v>16</v>
      </c>
      <c r="E74" s="514" t="s">
        <v>16</v>
      </c>
      <c r="F74" s="514" t="s">
        <v>16</v>
      </c>
      <c r="G74" s="515">
        <v>2</v>
      </c>
    </row>
    <row r="75" spans="3:7" ht="16.5" customHeight="1">
      <c r="C75" s="510" t="s">
        <v>84</v>
      </c>
      <c r="D75" s="511" t="s">
        <v>16</v>
      </c>
      <c r="E75" s="511" t="s">
        <v>14</v>
      </c>
      <c r="F75" s="511" t="s">
        <v>16</v>
      </c>
      <c r="G75" s="512">
        <v>1</v>
      </c>
    </row>
    <row r="76" spans="3:7" ht="16.5" customHeight="1">
      <c r="C76" s="513" t="s">
        <v>85</v>
      </c>
      <c r="D76" s="514" t="s">
        <v>14</v>
      </c>
      <c r="E76" s="514" t="s">
        <v>14</v>
      </c>
      <c r="F76" s="514" t="s">
        <v>16</v>
      </c>
      <c r="G76" s="515">
        <v>1</v>
      </c>
    </row>
    <row r="77" spans="3:7" ht="23.5" customHeight="1">
      <c r="C77" s="533" t="s">
        <v>86</v>
      </c>
      <c r="D77" s="534"/>
      <c r="E77" s="534"/>
      <c r="F77" s="534"/>
      <c r="G77" s="535"/>
    </row>
    <row r="78" spans="3:7" ht="16.5" customHeight="1">
      <c r="C78" s="510" t="s">
        <v>87</v>
      </c>
      <c r="D78" s="511" t="s">
        <v>14</v>
      </c>
      <c r="E78" s="511" t="s">
        <v>14</v>
      </c>
      <c r="F78" s="511" t="s">
        <v>14</v>
      </c>
      <c r="G78" s="512">
        <v>4.5</v>
      </c>
    </row>
    <row r="79" spans="3:7" ht="16.5" customHeight="1">
      <c r="C79" s="513" t="s">
        <v>88</v>
      </c>
      <c r="D79" s="514" t="s">
        <v>16</v>
      </c>
      <c r="E79" s="514" t="s">
        <v>14</v>
      </c>
      <c r="F79" s="514" t="s">
        <v>89</v>
      </c>
      <c r="G79" s="515">
        <v>1.5</v>
      </c>
    </row>
    <row r="80" spans="3:7" ht="16.5" customHeight="1">
      <c r="C80" s="510" t="s">
        <v>90</v>
      </c>
      <c r="D80" s="511" t="s">
        <v>16</v>
      </c>
      <c r="E80" s="511" t="s">
        <v>14</v>
      </c>
      <c r="F80" s="511" t="s">
        <v>91</v>
      </c>
      <c r="G80" s="512">
        <v>0.5</v>
      </c>
    </row>
    <row r="81" spans="3:7" ht="16.5" customHeight="1">
      <c r="C81" s="513" t="s">
        <v>92</v>
      </c>
      <c r="D81" s="514" t="s">
        <v>16</v>
      </c>
      <c r="E81" s="514" t="s">
        <v>14</v>
      </c>
      <c r="F81" s="514" t="s">
        <v>14</v>
      </c>
      <c r="G81" s="515">
        <v>0.5</v>
      </c>
    </row>
    <row r="82" spans="3:7" ht="16.5" customHeight="1">
      <c r="C82" s="510" t="s">
        <v>93</v>
      </c>
      <c r="D82" s="511" t="s">
        <v>16</v>
      </c>
      <c r="E82" s="511" t="s">
        <v>14</v>
      </c>
      <c r="F82" s="511" t="s">
        <v>14</v>
      </c>
      <c r="G82" s="512">
        <v>1</v>
      </c>
    </row>
    <row r="83" spans="3:7" ht="16.5" customHeight="1">
      <c r="C83" s="513" t="s">
        <v>94</v>
      </c>
      <c r="D83" s="514" t="s">
        <v>14</v>
      </c>
      <c r="E83" s="514" t="s">
        <v>14</v>
      </c>
      <c r="F83" s="514" t="s">
        <v>14</v>
      </c>
      <c r="G83" s="515">
        <v>0.5</v>
      </c>
    </row>
    <row r="84" spans="3:7" ht="16.5" customHeight="1">
      <c r="C84" s="510" t="s">
        <v>95</v>
      </c>
      <c r="D84" s="511" t="s">
        <v>14</v>
      </c>
      <c r="E84" s="511" t="s">
        <v>14</v>
      </c>
      <c r="F84" s="511" t="s">
        <v>14</v>
      </c>
      <c r="G84" s="512">
        <v>1</v>
      </c>
    </row>
    <row r="85" spans="3:7" ht="16.5" customHeight="1">
      <c r="C85" s="513" t="s">
        <v>96</v>
      </c>
      <c r="D85" s="514" t="s">
        <v>14</v>
      </c>
      <c r="E85" s="514" t="s">
        <v>14</v>
      </c>
      <c r="F85" s="514" t="s">
        <v>14</v>
      </c>
      <c r="G85" s="515">
        <v>0.5</v>
      </c>
    </row>
    <row r="86" spans="3:7" ht="16.5" customHeight="1">
      <c r="C86" s="510" t="s">
        <v>97</v>
      </c>
      <c r="D86" s="511" t="s">
        <v>14</v>
      </c>
      <c r="E86" s="511" t="s">
        <v>14</v>
      </c>
      <c r="F86" s="511" t="s">
        <v>14</v>
      </c>
      <c r="G86" s="512">
        <v>1.5</v>
      </c>
    </row>
    <row r="87" spans="3:7" ht="16.5" customHeight="1">
      <c r="C87" s="513" t="s">
        <v>98</v>
      </c>
      <c r="D87" s="514" t="s">
        <v>14</v>
      </c>
      <c r="E87" s="514" t="s">
        <v>14</v>
      </c>
      <c r="F87" s="514" t="s">
        <v>14</v>
      </c>
      <c r="G87" s="515">
        <v>1.5</v>
      </c>
    </row>
    <row r="88" spans="3:7" ht="16.5" customHeight="1">
      <c r="C88" s="510" t="s">
        <v>99</v>
      </c>
      <c r="D88" s="511" t="s">
        <v>14</v>
      </c>
      <c r="E88" s="511" t="s">
        <v>14</v>
      </c>
      <c r="F88" s="511" t="s">
        <v>14</v>
      </c>
      <c r="G88" s="512">
        <v>0.5</v>
      </c>
    </row>
    <row r="89" spans="3:7" ht="16.5" customHeight="1">
      <c r="C89" s="513" t="s">
        <v>100</v>
      </c>
      <c r="D89" s="514" t="s">
        <v>14</v>
      </c>
      <c r="E89" s="514" t="s">
        <v>14</v>
      </c>
      <c r="F89" s="514" t="s">
        <v>14</v>
      </c>
      <c r="G89" s="515">
        <v>0.5</v>
      </c>
    </row>
    <row r="90" spans="3:7" ht="16.5" customHeight="1">
      <c r="C90" s="510" t="s">
        <v>101</v>
      </c>
      <c r="D90" s="511" t="s">
        <v>14</v>
      </c>
      <c r="E90" s="511" t="s">
        <v>14</v>
      </c>
      <c r="F90" s="511" t="s">
        <v>14</v>
      </c>
      <c r="G90" s="512">
        <v>1</v>
      </c>
    </row>
    <row r="91" spans="3:7" ht="16.5" customHeight="1">
      <c r="C91" s="513" t="s">
        <v>102</v>
      </c>
      <c r="D91" s="514" t="s">
        <v>14</v>
      </c>
      <c r="E91" s="514" t="s">
        <v>14</v>
      </c>
      <c r="F91" s="514" t="s">
        <v>14</v>
      </c>
      <c r="G91" s="515">
        <v>1</v>
      </c>
    </row>
    <row r="92" spans="3:7" ht="23.5" customHeight="1">
      <c r="C92" s="533" t="s">
        <v>103</v>
      </c>
      <c r="D92" s="534"/>
      <c r="E92" s="534"/>
      <c r="F92" s="534"/>
      <c r="G92" s="535"/>
    </row>
    <row r="93" spans="3:7" ht="16.5" customHeight="1">
      <c r="C93" s="510" t="s">
        <v>104</v>
      </c>
      <c r="D93" s="511" t="s">
        <v>14</v>
      </c>
      <c r="E93" s="511" t="s">
        <v>14</v>
      </c>
      <c r="F93" s="511" t="s">
        <v>14</v>
      </c>
      <c r="G93" s="512">
        <v>1</v>
      </c>
    </row>
    <row r="94" spans="3:7" ht="16.5" customHeight="1">
      <c r="C94" s="513" t="s">
        <v>105</v>
      </c>
      <c r="D94" s="514" t="s">
        <v>14</v>
      </c>
      <c r="E94" s="514" t="s">
        <v>16</v>
      </c>
      <c r="F94" s="514" t="s">
        <v>14</v>
      </c>
      <c r="G94" s="515">
        <v>1</v>
      </c>
    </row>
    <row r="95" spans="3:7" ht="16.5" customHeight="1">
      <c r="C95" s="510" t="s">
        <v>106</v>
      </c>
      <c r="D95" s="511" t="s">
        <v>14</v>
      </c>
      <c r="E95" s="511" t="s">
        <v>14</v>
      </c>
      <c r="F95" s="511" t="s">
        <v>14</v>
      </c>
      <c r="G95" s="512">
        <v>1</v>
      </c>
    </row>
    <row r="96" spans="3:7" ht="16.5" customHeight="1">
      <c r="C96" s="513" t="s">
        <v>107</v>
      </c>
      <c r="D96" s="514" t="s">
        <v>14</v>
      </c>
      <c r="E96" s="514" t="s">
        <v>14</v>
      </c>
      <c r="F96" s="514" t="s">
        <v>14</v>
      </c>
      <c r="G96" s="515">
        <v>1</v>
      </c>
    </row>
    <row r="97" spans="3:7" ht="16.5" customHeight="1">
      <c r="C97" s="510" t="s">
        <v>108</v>
      </c>
      <c r="D97" s="511" t="s">
        <v>14</v>
      </c>
      <c r="E97" s="511" t="s">
        <v>16</v>
      </c>
      <c r="F97" s="511" t="s">
        <v>14</v>
      </c>
      <c r="G97" s="512">
        <v>0.5</v>
      </c>
    </row>
    <row r="98" spans="3:7" ht="16.5" customHeight="1">
      <c r="C98" s="513" t="s">
        <v>109</v>
      </c>
      <c r="D98" s="514" t="s">
        <v>14</v>
      </c>
      <c r="E98" s="514" t="s">
        <v>14</v>
      </c>
      <c r="F98" s="514" t="s">
        <v>14</v>
      </c>
      <c r="G98" s="515">
        <v>0.5</v>
      </c>
    </row>
    <row r="99" spans="3:7" ht="16.5" customHeight="1">
      <c r="C99" s="510" t="s">
        <v>110</v>
      </c>
      <c r="D99" s="511" t="s">
        <v>14</v>
      </c>
      <c r="E99" s="511" t="s">
        <v>16</v>
      </c>
      <c r="F99" s="511" t="s">
        <v>14</v>
      </c>
      <c r="G99" s="512">
        <v>1</v>
      </c>
    </row>
    <row r="100" spans="3:7" ht="16.5" customHeight="1">
      <c r="C100" s="513" t="s">
        <v>111</v>
      </c>
      <c r="D100" s="514" t="s">
        <v>14</v>
      </c>
      <c r="E100" s="514" t="s">
        <v>14</v>
      </c>
      <c r="F100" s="514" t="s">
        <v>16</v>
      </c>
      <c r="G100" s="515">
        <v>0.5</v>
      </c>
    </row>
    <row r="101" spans="3:7" ht="16.5" customHeight="1">
      <c r="C101" s="510" t="s">
        <v>112</v>
      </c>
      <c r="D101" s="511" t="s">
        <v>14</v>
      </c>
      <c r="E101" s="511" t="s">
        <v>16</v>
      </c>
      <c r="F101" s="511" t="s">
        <v>14</v>
      </c>
      <c r="G101" s="512">
        <v>1</v>
      </c>
    </row>
    <row r="102" spans="3:7" ht="16.5" customHeight="1">
      <c r="C102" s="513" t="s">
        <v>113</v>
      </c>
      <c r="D102" s="514" t="s">
        <v>16</v>
      </c>
      <c r="E102" s="514" t="s">
        <v>14</v>
      </c>
      <c r="F102" s="514" t="s">
        <v>14</v>
      </c>
      <c r="G102" s="515">
        <v>0.5</v>
      </c>
    </row>
    <row r="103" spans="3:7" ht="16.5" customHeight="1">
      <c r="C103" s="510" t="s">
        <v>114</v>
      </c>
      <c r="D103" s="511" t="s">
        <v>14</v>
      </c>
      <c r="E103" s="511" t="s">
        <v>16</v>
      </c>
      <c r="F103" s="511" t="s">
        <v>14</v>
      </c>
      <c r="G103" s="512">
        <v>0.5</v>
      </c>
    </row>
    <row r="104" spans="3:7" ht="16.5" customHeight="1">
      <c r="C104" s="516" t="s">
        <v>115</v>
      </c>
      <c r="D104" s="517" t="s">
        <v>14</v>
      </c>
      <c r="E104" s="517" t="s">
        <v>14</v>
      </c>
      <c r="F104" s="517" t="s">
        <v>14</v>
      </c>
      <c r="G104" s="518">
        <v>1</v>
      </c>
    </row>
  </sheetData>
  <sheetProtection algorithmName="SHA-512" hashValue="UnacQ3rb62m6E1zTwYiquCQiWn6k7zNTr1y/YRTrRz/j8SzhFmI1rlVV6W81EY/JmO2kfAw/85PF0krU75ypKw==" saltValue="U9Aq4XyaVjJgzYSCmkKFRw==" spinCount="100000" sheet="1" objects="1" scenarios="1"/>
  <mergeCells count="5">
    <mergeCell ref="C10:G10"/>
    <mergeCell ref="C23:G23"/>
    <mergeCell ref="C52:G52"/>
    <mergeCell ref="C77:G77"/>
    <mergeCell ref="C92:G9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12E29-339C-4602-B992-7B7CFBE9695D}">
  <sheetPr codeName="Sheet6"/>
  <dimension ref="A1:CW369"/>
  <sheetViews>
    <sheetView zoomScale="90" zoomScaleNormal="90" workbookViewId="0">
      <selection activeCell="C3" sqref="C3"/>
    </sheetView>
  </sheetViews>
  <sheetFormatPr defaultColWidth="8.81640625" defaultRowHeight="14.5"/>
  <cols>
    <col min="1" max="1" width="2.453125" style="96" customWidth="1"/>
    <col min="2" max="2" width="23.26953125" customWidth="1"/>
    <col min="48" max="101" width="8.81640625" style="96"/>
  </cols>
  <sheetData>
    <row r="1" spans="1:101" s="145" customFormat="1" ht="111" customHeight="1" thickBot="1">
      <c r="A1" s="463"/>
      <c r="B1" s="536"/>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144"/>
      <c r="AI1" s="144"/>
      <c r="AJ1" s="144"/>
      <c r="AK1" s="144"/>
      <c r="AL1" s="144"/>
      <c r="AM1" s="144"/>
      <c r="AN1" s="144"/>
      <c r="AO1" s="144"/>
      <c r="AP1" s="144"/>
      <c r="AQ1" s="144"/>
      <c r="AR1" s="144"/>
      <c r="AS1" s="144"/>
      <c r="AT1" s="144"/>
      <c r="AU1" s="144"/>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row>
    <row r="2" spans="1:101" s="145" customFormat="1" ht="15" thickBot="1">
      <c r="A2" s="463"/>
      <c r="B2" s="183"/>
      <c r="C2" s="197">
        <v>1990</v>
      </c>
      <c r="D2" s="197">
        <v>1991</v>
      </c>
      <c r="E2" s="197">
        <v>1992</v>
      </c>
      <c r="F2" s="197">
        <v>1993</v>
      </c>
      <c r="G2" s="197">
        <v>1994</v>
      </c>
      <c r="H2" s="197">
        <v>1995</v>
      </c>
      <c r="I2" s="197">
        <v>1996</v>
      </c>
      <c r="J2" s="197">
        <v>1997</v>
      </c>
      <c r="K2" s="197">
        <v>1998</v>
      </c>
      <c r="L2" s="197">
        <v>1999</v>
      </c>
      <c r="M2" s="197">
        <v>2000</v>
      </c>
      <c r="N2" s="197">
        <v>2001</v>
      </c>
      <c r="O2" s="197">
        <v>2002</v>
      </c>
      <c r="P2" s="197">
        <v>2003</v>
      </c>
      <c r="Q2" s="197">
        <v>2004</v>
      </c>
      <c r="R2" s="197">
        <v>2005</v>
      </c>
      <c r="S2" s="197">
        <v>2006</v>
      </c>
      <c r="T2" s="197">
        <v>2007</v>
      </c>
      <c r="U2" s="197">
        <v>2008</v>
      </c>
      <c r="V2" s="197">
        <v>2009</v>
      </c>
      <c r="W2" s="197">
        <v>2010</v>
      </c>
      <c r="X2" s="197">
        <v>2011</v>
      </c>
      <c r="Y2" s="197">
        <v>2012</v>
      </c>
      <c r="Z2" s="197">
        <v>2013</v>
      </c>
      <c r="AA2" s="197">
        <v>2014</v>
      </c>
      <c r="AB2" s="197">
        <v>2015</v>
      </c>
      <c r="AC2" s="197">
        <v>2016</v>
      </c>
      <c r="AD2" s="197">
        <v>2017</v>
      </c>
      <c r="AE2" s="197">
        <v>2018</v>
      </c>
      <c r="AF2" s="197">
        <v>2019</v>
      </c>
      <c r="AG2" s="198">
        <v>2020</v>
      </c>
      <c r="AH2" s="144"/>
      <c r="AI2" s="144"/>
      <c r="AJ2" s="144"/>
      <c r="AK2" s="144"/>
      <c r="AL2" s="144"/>
      <c r="AM2" s="144"/>
      <c r="AN2" s="144"/>
      <c r="AO2" s="144"/>
      <c r="AP2" s="144"/>
      <c r="AQ2" s="144"/>
      <c r="AR2" s="144"/>
      <c r="AS2" s="144"/>
      <c r="AT2" s="144"/>
      <c r="AU2" s="144"/>
      <c r="AV2" s="463"/>
      <c r="AW2" s="463"/>
      <c r="AX2" s="463"/>
      <c r="AY2" s="463"/>
      <c r="AZ2" s="463"/>
      <c r="BA2" s="463"/>
      <c r="BB2" s="463"/>
      <c r="BC2" s="463"/>
      <c r="BD2" s="463"/>
      <c r="BE2" s="463"/>
      <c r="BF2" s="463"/>
      <c r="BG2" s="463"/>
      <c r="BH2" s="463"/>
      <c r="BI2" s="463"/>
      <c r="BJ2" s="463"/>
      <c r="BK2" s="463"/>
      <c r="BL2" s="463"/>
      <c r="BM2" s="463"/>
      <c r="BN2" s="463"/>
      <c r="BO2" s="463"/>
      <c r="BP2" s="463"/>
      <c r="BQ2" s="463"/>
      <c r="BR2" s="463"/>
      <c r="BS2" s="463"/>
      <c r="BT2" s="463"/>
      <c r="BU2" s="463"/>
      <c r="BV2" s="463"/>
      <c r="BW2" s="463"/>
      <c r="BX2" s="463"/>
      <c r="BY2" s="463"/>
      <c r="BZ2" s="463"/>
      <c r="CA2" s="463"/>
      <c r="CB2" s="463"/>
      <c r="CC2" s="463"/>
      <c r="CD2" s="463"/>
      <c r="CE2" s="463"/>
      <c r="CF2" s="463"/>
      <c r="CG2" s="463"/>
      <c r="CH2" s="463"/>
      <c r="CI2" s="463"/>
      <c r="CJ2" s="463"/>
      <c r="CK2" s="463"/>
      <c r="CL2" s="463"/>
      <c r="CM2" s="463"/>
      <c r="CN2" s="463"/>
      <c r="CO2" s="463"/>
      <c r="CP2" s="463"/>
      <c r="CQ2" s="463"/>
      <c r="CR2" s="463"/>
      <c r="CS2" s="463"/>
      <c r="CT2" s="463"/>
      <c r="CU2" s="463"/>
      <c r="CV2" s="463"/>
      <c r="CW2" s="463"/>
    </row>
    <row r="3" spans="1:101" ht="32.5" customHeight="1" thickBot="1">
      <c r="B3" s="484" t="s">
        <v>116</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200"/>
      <c r="AH3" s="22"/>
      <c r="AI3" s="22"/>
      <c r="AJ3" s="22"/>
      <c r="AK3" s="22"/>
      <c r="AL3" s="22"/>
      <c r="AM3" s="22"/>
      <c r="AN3" s="22"/>
      <c r="AO3" s="22"/>
      <c r="AP3" s="22"/>
      <c r="AQ3" s="22"/>
      <c r="AR3" s="22"/>
      <c r="AS3" s="22"/>
      <c r="AT3" s="22"/>
      <c r="AU3" s="22"/>
    </row>
    <row r="4" spans="1:101" ht="32.5" customHeight="1" thickBot="1">
      <c r="B4" s="484" t="s">
        <v>117</v>
      </c>
      <c r="C4" s="235"/>
      <c r="D4" s="235"/>
      <c r="E4" s="235"/>
      <c r="F4" s="235"/>
      <c r="G4" s="235"/>
      <c r="H4" s="235"/>
      <c r="I4" s="235"/>
      <c r="J4" s="235"/>
      <c r="K4" s="235"/>
      <c r="L4" s="235"/>
      <c r="M4" s="235"/>
      <c r="N4" s="235"/>
      <c r="O4" s="235"/>
      <c r="P4" s="235"/>
      <c r="Q4" s="235"/>
      <c r="R4" s="199"/>
      <c r="S4" s="199"/>
      <c r="T4" s="199"/>
      <c r="U4" s="199"/>
      <c r="V4" s="199"/>
      <c r="W4" s="199"/>
      <c r="X4" s="199"/>
      <c r="Y4" s="199"/>
      <c r="Z4" s="199"/>
      <c r="AA4" s="199"/>
      <c r="AB4" s="199"/>
      <c r="AC4" s="199"/>
      <c r="AD4" s="199"/>
      <c r="AE4" s="199"/>
      <c r="AF4" s="235"/>
      <c r="AG4" s="236"/>
      <c r="AH4" s="22"/>
      <c r="AI4" s="22"/>
      <c r="AJ4" s="22"/>
      <c r="AK4" s="22"/>
      <c r="AL4" s="22"/>
      <c r="AM4" s="22"/>
      <c r="AN4" s="22"/>
      <c r="AO4" s="22"/>
      <c r="AP4" s="22"/>
      <c r="AQ4" s="22"/>
      <c r="AR4" s="22"/>
      <c r="AS4" s="22"/>
      <c r="AT4" s="22"/>
      <c r="AU4" s="22"/>
    </row>
    <row r="5" spans="1:101" ht="35.25" customHeight="1" thickBot="1">
      <c r="B5" s="484" t="s">
        <v>118</v>
      </c>
      <c r="C5" s="202"/>
      <c r="D5" s="202"/>
      <c r="E5" s="202"/>
      <c r="F5" s="202"/>
      <c r="G5" s="202"/>
      <c r="H5" s="202"/>
      <c r="I5" s="202"/>
      <c r="J5" s="202"/>
      <c r="K5" s="202"/>
      <c r="L5" s="202"/>
      <c r="M5" s="202"/>
      <c r="N5" s="202"/>
      <c r="O5" s="202"/>
      <c r="P5" s="202"/>
      <c r="Q5" s="202"/>
      <c r="R5" s="201"/>
      <c r="S5" s="201"/>
      <c r="T5" s="201"/>
      <c r="U5" s="201"/>
      <c r="V5" s="201"/>
      <c r="W5" s="201"/>
      <c r="X5" s="201"/>
      <c r="Y5" s="201"/>
      <c r="Z5" s="201"/>
      <c r="AA5" s="201"/>
      <c r="AB5" s="201"/>
      <c r="AC5" s="201"/>
      <c r="AD5" s="201"/>
      <c r="AE5" s="201"/>
      <c r="AF5" s="202"/>
      <c r="AG5" s="237"/>
      <c r="AH5" s="22"/>
      <c r="AI5" s="22"/>
      <c r="AJ5" s="22"/>
      <c r="AK5" s="22"/>
      <c r="AL5" s="22"/>
      <c r="AM5" s="22"/>
      <c r="AN5" s="22"/>
      <c r="AO5" s="22"/>
      <c r="AP5" s="22"/>
      <c r="AQ5" s="22"/>
      <c r="AR5" s="22"/>
      <c r="AS5" s="22"/>
      <c r="AT5" s="22"/>
      <c r="AU5" s="22"/>
    </row>
    <row r="6" spans="1:101" s="145" customFormat="1">
      <c r="A6" s="463"/>
      <c r="B6" s="212"/>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463"/>
      <c r="AW6" s="463"/>
      <c r="AX6" s="463"/>
      <c r="AY6" s="463"/>
      <c r="AZ6" s="463"/>
      <c r="BA6" s="463"/>
      <c r="BB6" s="463"/>
      <c r="BC6" s="463"/>
      <c r="BD6" s="463"/>
      <c r="BE6" s="463"/>
      <c r="BF6" s="463"/>
      <c r="BG6" s="463"/>
      <c r="BH6" s="463"/>
      <c r="BI6" s="463"/>
      <c r="BJ6" s="463"/>
      <c r="BK6" s="463"/>
      <c r="BL6" s="463"/>
      <c r="BM6" s="463"/>
      <c r="BN6" s="463"/>
      <c r="BO6" s="463"/>
      <c r="BP6" s="463"/>
      <c r="BQ6" s="463"/>
      <c r="BR6" s="463"/>
      <c r="BS6" s="463"/>
      <c r="BT6" s="463"/>
      <c r="BU6" s="463"/>
      <c r="BV6" s="463"/>
      <c r="BW6" s="463"/>
      <c r="BX6" s="463"/>
      <c r="BY6" s="463"/>
      <c r="BZ6" s="463"/>
      <c r="CA6" s="463"/>
      <c r="CB6" s="463"/>
      <c r="CC6" s="463"/>
      <c r="CD6" s="463"/>
      <c r="CE6" s="463"/>
      <c r="CF6" s="463"/>
      <c r="CG6" s="463"/>
      <c r="CH6" s="463"/>
      <c r="CI6" s="463"/>
      <c r="CJ6" s="463"/>
      <c r="CK6" s="463"/>
      <c r="CL6" s="463"/>
      <c r="CM6" s="463"/>
      <c r="CN6" s="463"/>
      <c r="CO6" s="463"/>
      <c r="CP6" s="463"/>
      <c r="CQ6" s="463"/>
      <c r="CR6" s="463"/>
      <c r="CS6" s="463"/>
      <c r="CT6" s="463"/>
      <c r="CU6" s="463"/>
      <c r="CV6" s="463"/>
      <c r="CW6" s="463"/>
    </row>
    <row r="7" spans="1:101" s="145" customFormat="1">
      <c r="A7" s="463"/>
      <c r="B7" s="214" t="s">
        <v>6</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463"/>
      <c r="AW7" s="463"/>
      <c r="AX7" s="463"/>
      <c r="AY7" s="463"/>
      <c r="AZ7" s="463"/>
      <c r="BA7" s="463"/>
      <c r="BB7" s="463"/>
      <c r="BC7" s="463"/>
      <c r="BD7" s="463"/>
      <c r="BE7" s="463"/>
      <c r="BF7" s="463"/>
      <c r="BG7" s="463"/>
      <c r="BH7" s="463"/>
      <c r="BI7" s="463"/>
      <c r="BJ7" s="463"/>
      <c r="BK7" s="463"/>
      <c r="BL7" s="463"/>
      <c r="BM7" s="463"/>
      <c r="BN7" s="463"/>
      <c r="BO7" s="463"/>
      <c r="BP7" s="463"/>
      <c r="BQ7" s="463"/>
      <c r="BR7" s="463"/>
      <c r="BS7" s="463"/>
      <c r="BT7" s="463"/>
      <c r="BU7" s="463"/>
      <c r="BV7" s="463"/>
      <c r="BW7" s="463"/>
      <c r="BX7" s="463"/>
      <c r="BY7" s="463"/>
      <c r="BZ7" s="463"/>
      <c r="CA7" s="463"/>
      <c r="CB7" s="463"/>
      <c r="CC7" s="463"/>
      <c r="CD7" s="463"/>
      <c r="CE7" s="463"/>
      <c r="CF7" s="463"/>
      <c r="CG7" s="463"/>
      <c r="CH7" s="463"/>
      <c r="CI7" s="463"/>
      <c r="CJ7" s="463"/>
      <c r="CK7" s="463"/>
      <c r="CL7" s="463"/>
      <c r="CM7" s="463"/>
      <c r="CN7" s="463"/>
      <c r="CO7" s="463"/>
      <c r="CP7" s="463"/>
      <c r="CQ7" s="463"/>
      <c r="CR7" s="463"/>
      <c r="CS7" s="463"/>
      <c r="CT7" s="463"/>
      <c r="CU7" s="463"/>
      <c r="CV7" s="463"/>
      <c r="CW7" s="463"/>
    </row>
    <row r="8" spans="1:101" s="145" customFormat="1">
      <c r="A8" s="463"/>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463"/>
      <c r="AW8" s="463"/>
      <c r="AX8" s="463"/>
      <c r="AY8" s="463"/>
      <c r="AZ8" s="463"/>
      <c r="BA8" s="463"/>
      <c r="BB8" s="463"/>
      <c r="BC8" s="463"/>
      <c r="BD8" s="463"/>
      <c r="BE8" s="463"/>
      <c r="BF8" s="463"/>
      <c r="BG8" s="463"/>
      <c r="BH8" s="463"/>
      <c r="BI8" s="463"/>
      <c r="BJ8" s="463"/>
      <c r="BK8" s="463"/>
      <c r="BL8" s="463"/>
      <c r="BM8" s="463"/>
      <c r="BN8" s="463"/>
      <c r="BO8" s="463"/>
      <c r="BP8" s="463"/>
      <c r="BQ8" s="463"/>
      <c r="BR8" s="463"/>
      <c r="BS8" s="463"/>
      <c r="BT8" s="463"/>
      <c r="BU8" s="463"/>
      <c r="BV8" s="463"/>
      <c r="BW8" s="463"/>
      <c r="BX8" s="463"/>
      <c r="BY8" s="463"/>
      <c r="BZ8" s="463"/>
      <c r="CA8" s="463"/>
      <c r="CB8" s="463"/>
      <c r="CC8" s="463"/>
      <c r="CD8" s="463"/>
      <c r="CE8" s="463"/>
      <c r="CF8" s="463"/>
      <c r="CG8" s="463"/>
      <c r="CH8" s="463"/>
      <c r="CI8" s="463"/>
      <c r="CJ8" s="463"/>
      <c r="CK8" s="463"/>
      <c r="CL8" s="463"/>
      <c r="CM8" s="463"/>
      <c r="CN8" s="463"/>
      <c r="CO8" s="463"/>
      <c r="CP8" s="463"/>
      <c r="CQ8" s="463"/>
      <c r="CR8" s="463"/>
      <c r="CS8" s="463"/>
      <c r="CT8" s="463"/>
      <c r="CU8" s="463"/>
      <c r="CV8" s="463"/>
      <c r="CW8" s="463"/>
    </row>
    <row r="9" spans="1:101" s="145" customFormat="1">
      <c r="A9" s="463"/>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463"/>
      <c r="AW9" s="463"/>
      <c r="AX9" s="463"/>
      <c r="AY9" s="463"/>
      <c r="AZ9" s="463"/>
      <c r="BA9" s="463"/>
      <c r="BB9" s="463"/>
      <c r="BC9" s="463"/>
      <c r="BD9" s="463"/>
      <c r="BE9" s="463"/>
      <c r="BF9" s="463"/>
      <c r="BG9" s="463"/>
      <c r="BH9" s="463"/>
      <c r="BI9" s="463"/>
      <c r="BJ9" s="463"/>
      <c r="BK9" s="463"/>
      <c r="BL9" s="463"/>
      <c r="BM9" s="463"/>
      <c r="BN9" s="463"/>
      <c r="BO9" s="463"/>
      <c r="BP9" s="463"/>
      <c r="BQ9" s="463"/>
      <c r="BR9" s="463"/>
      <c r="BS9" s="463"/>
      <c r="BT9" s="463"/>
      <c r="BU9" s="463"/>
      <c r="BV9" s="463"/>
      <c r="BW9" s="463"/>
      <c r="BX9" s="463"/>
      <c r="BY9" s="463"/>
      <c r="BZ9" s="463"/>
      <c r="CA9" s="463"/>
      <c r="CB9" s="463"/>
      <c r="CC9" s="463"/>
      <c r="CD9" s="463"/>
      <c r="CE9" s="463"/>
      <c r="CF9" s="463"/>
      <c r="CG9" s="463"/>
      <c r="CH9" s="463"/>
      <c r="CI9" s="463"/>
      <c r="CJ9" s="463"/>
      <c r="CK9" s="463"/>
      <c r="CL9" s="463"/>
      <c r="CM9" s="463"/>
      <c r="CN9" s="463"/>
      <c r="CO9" s="463"/>
      <c r="CP9" s="463"/>
      <c r="CQ9" s="463"/>
      <c r="CR9" s="463"/>
      <c r="CS9" s="463"/>
      <c r="CT9" s="463"/>
      <c r="CU9" s="463"/>
      <c r="CV9" s="463"/>
      <c r="CW9" s="463"/>
    </row>
    <row r="10" spans="1:101" s="145" customFormat="1">
      <c r="A10" s="463"/>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463"/>
      <c r="AW10" s="463"/>
      <c r="AX10" s="463"/>
      <c r="AY10" s="463"/>
      <c r="AZ10" s="463"/>
      <c r="BA10" s="463"/>
      <c r="BB10" s="463"/>
      <c r="BC10" s="463"/>
      <c r="BD10" s="463"/>
      <c r="BE10" s="463"/>
      <c r="BF10" s="463"/>
      <c r="BG10" s="463"/>
      <c r="BH10" s="463"/>
      <c r="BI10" s="463"/>
      <c r="BJ10" s="463"/>
      <c r="BK10" s="463"/>
      <c r="BL10" s="463"/>
      <c r="BM10" s="463"/>
      <c r="BN10" s="463"/>
      <c r="BO10" s="463"/>
      <c r="BP10" s="463"/>
      <c r="BQ10" s="463"/>
      <c r="BR10" s="463"/>
      <c r="BS10" s="463"/>
      <c r="BT10" s="463"/>
      <c r="BU10" s="463"/>
      <c r="BV10" s="463"/>
      <c r="BW10" s="463"/>
      <c r="BX10" s="463"/>
      <c r="BY10" s="463"/>
      <c r="BZ10" s="463"/>
      <c r="CA10" s="463"/>
      <c r="CB10" s="463"/>
      <c r="CC10" s="463"/>
      <c r="CD10" s="463"/>
      <c r="CE10" s="463"/>
      <c r="CF10" s="463"/>
      <c r="CG10" s="463"/>
      <c r="CH10" s="463"/>
      <c r="CI10" s="463"/>
      <c r="CJ10" s="463"/>
      <c r="CK10" s="463"/>
      <c r="CL10" s="463"/>
      <c r="CM10" s="463"/>
      <c r="CN10" s="463"/>
      <c r="CO10" s="463"/>
      <c r="CP10" s="463"/>
      <c r="CQ10" s="463"/>
      <c r="CR10" s="463"/>
      <c r="CS10" s="463"/>
      <c r="CT10" s="463"/>
      <c r="CU10" s="463"/>
      <c r="CV10" s="463"/>
      <c r="CW10" s="463"/>
    </row>
    <row r="11" spans="1:101" s="145" customFormat="1">
      <c r="A11" s="463"/>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463"/>
      <c r="AW11" s="463"/>
      <c r="AX11" s="463"/>
      <c r="AY11" s="463"/>
      <c r="AZ11" s="463"/>
      <c r="BA11" s="463"/>
      <c r="BB11" s="463"/>
      <c r="BC11" s="463"/>
      <c r="BD11" s="463"/>
      <c r="BE11" s="463"/>
      <c r="BF11" s="463"/>
      <c r="BG11" s="463"/>
      <c r="BH11" s="463"/>
      <c r="BI11" s="463"/>
      <c r="BJ11" s="463"/>
      <c r="BK11" s="463"/>
      <c r="BL11" s="463"/>
      <c r="BM11" s="463"/>
      <c r="BN11" s="463"/>
      <c r="BO11" s="463"/>
      <c r="BP11" s="463"/>
      <c r="BQ11" s="463"/>
      <c r="BR11" s="463"/>
      <c r="BS11" s="463"/>
      <c r="BT11" s="463"/>
      <c r="BU11" s="463"/>
      <c r="BV11" s="463"/>
      <c r="BW11" s="463"/>
      <c r="BX11" s="463"/>
      <c r="BY11" s="463"/>
      <c r="BZ11" s="463"/>
      <c r="CA11" s="463"/>
      <c r="CB11" s="463"/>
      <c r="CC11" s="463"/>
      <c r="CD11" s="463"/>
      <c r="CE11" s="463"/>
      <c r="CF11" s="463"/>
      <c r="CG11" s="463"/>
      <c r="CH11" s="463"/>
      <c r="CI11" s="463"/>
      <c r="CJ11" s="463"/>
      <c r="CK11" s="463"/>
      <c r="CL11" s="463"/>
      <c r="CM11" s="463"/>
      <c r="CN11" s="463"/>
      <c r="CO11" s="463"/>
      <c r="CP11" s="463"/>
      <c r="CQ11" s="463"/>
      <c r="CR11" s="463"/>
      <c r="CS11" s="463"/>
      <c r="CT11" s="463"/>
      <c r="CU11" s="463"/>
      <c r="CV11" s="463"/>
      <c r="CW11" s="463"/>
    </row>
    <row r="12" spans="1:101" s="145" customFormat="1">
      <c r="A12" s="463"/>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463"/>
      <c r="AW12" s="463"/>
      <c r="AX12" s="463"/>
      <c r="AY12" s="463"/>
      <c r="AZ12" s="463"/>
      <c r="BA12" s="463"/>
      <c r="BB12" s="463"/>
      <c r="BC12" s="463"/>
      <c r="BD12" s="463"/>
      <c r="BE12" s="463"/>
      <c r="BF12" s="463"/>
      <c r="BG12" s="463"/>
      <c r="BH12" s="463"/>
      <c r="BI12" s="463"/>
      <c r="BJ12" s="463"/>
      <c r="BK12" s="463"/>
      <c r="BL12" s="463"/>
      <c r="BM12" s="463"/>
      <c r="BN12" s="463"/>
      <c r="BO12" s="463"/>
      <c r="BP12" s="463"/>
      <c r="BQ12" s="463"/>
      <c r="BR12" s="463"/>
      <c r="BS12" s="463"/>
      <c r="BT12" s="463"/>
      <c r="BU12" s="463"/>
      <c r="BV12" s="463"/>
      <c r="BW12" s="463"/>
      <c r="BX12" s="463"/>
      <c r="BY12" s="463"/>
      <c r="BZ12" s="463"/>
      <c r="CA12" s="463"/>
      <c r="CB12" s="463"/>
      <c r="CC12" s="463"/>
      <c r="CD12" s="463"/>
      <c r="CE12" s="463"/>
      <c r="CF12" s="463"/>
      <c r="CG12" s="463"/>
      <c r="CH12" s="463"/>
      <c r="CI12" s="463"/>
      <c r="CJ12" s="463"/>
      <c r="CK12" s="463"/>
      <c r="CL12" s="463"/>
      <c r="CM12" s="463"/>
      <c r="CN12" s="463"/>
      <c r="CO12" s="463"/>
      <c r="CP12" s="463"/>
      <c r="CQ12" s="463"/>
      <c r="CR12" s="463"/>
      <c r="CS12" s="463"/>
      <c r="CT12" s="463"/>
      <c r="CU12" s="463"/>
      <c r="CV12" s="463"/>
      <c r="CW12" s="463"/>
    </row>
    <row r="13" spans="1:101">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row>
    <row r="14" spans="1:101">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row>
    <row r="15" spans="1:10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row>
    <row r="16" spans="1:10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row>
    <row r="17" spans="2:47">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row>
    <row r="18" spans="2:47">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row>
    <row r="19" spans="2:47">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row>
    <row r="20" spans="2:4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row>
    <row r="21" spans="2:47">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row>
    <row r="22" spans="2:47">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row>
    <row r="23" spans="2:47">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row>
    <row r="24" spans="2:47">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row>
    <row r="25" spans="2:47">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row>
    <row r="26" spans="2:47">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row>
    <row r="27" spans="2:47">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row>
    <row r="28" spans="2:47">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row>
    <row r="29" spans="2:47">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row>
    <row r="30" spans="2:47">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row>
    <row r="31" spans="2:47">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row>
    <row r="32" spans="2:47">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row>
    <row r="33" spans="2:47">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row>
    <row r="34" spans="2:47">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row>
    <row r="35" spans="2:47">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row>
    <row r="36" spans="2:47">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row>
    <row r="37" spans="2:47">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row>
    <row r="38" spans="2:47">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row>
    <row r="39" spans="2:47">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row>
    <row r="40" spans="2:47">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row>
    <row r="41" spans="2:47">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row>
    <row r="42" spans="2:47">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row>
    <row r="43" spans="2:47">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row>
    <row r="44" spans="2:47">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row>
    <row r="45" spans="2:47">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row>
    <row r="46" spans="2:47">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row>
    <row r="47" spans="2:47">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row>
    <row r="48" spans="2:47">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row>
    <row r="49" spans="2:47">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row>
    <row r="50" spans="2:47">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row>
    <row r="51" spans="2:47">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row>
    <row r="52" spans="2:47">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row>
    <row r="53" spans="2:47">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row>
    <row r="54" spans="2:47">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row>
    <row r="55" spans="2:47">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row>
    <row r="56" spans="2:47">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row>
    <row r="57" spans="2:47">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row>
    <row r="58" spans="2:47">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row>
    <row r="59" spans="2:47">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row>
    <row r="60" spans="2:47">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row>
    <row r="61" spans="2:47">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row>
    <row r="62" spans="2:47">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row>
    <row r="63" spans="2:47">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row>
    <row r="64" spans="2:47">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row>
    <row r="65" spans="2:47">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row>
    <row r="66" spans="2:47">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row>
    <row r="67" spans="2:47">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row>
    <row r="68" spans="2:47">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row>
    <row r="69" spans="2:47">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row>
    <row r="70" spans="2:47">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row>
    <row r="71" spans="2:47">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row>
    <row r="72" spans="2:47">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row>
    <row r="73" spans="2:47">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row>
    <row r="74" spans="2:47">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row>
    <row r="75" spans="2:47">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row>
    <row r="76" spans="2:47">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row>
    <row r="77" spans="2:47">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row>
    <row r="78" spans="2:47">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row>
    <row r="79" spans="2:47">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row>
    <row r="80" spans="2:47">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row>
    <row r="81" spans="2:47">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row>
    <row r="82" spans="2:47">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row>
    <row r="83" spans="2:47">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row>
    <row r="84" spans="2:47">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row>
    <row r="85" spans="2:47">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row>
    <row r="86" spans="2:47">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row>
    <row r="87" spans="2:47">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row>
    <row r="88" spans="2:47">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row>
    <row r="89" spans="2:47">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row>
    <row r="90" spans="2:47">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row>
    <row r="91" spans="2:47">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row>
    <row r="92" spans="2:47">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row>
    <row r="93" spans="2:47">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row>
    <row r="94" spans="2:47">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row>
    <row r="95" spans="2:47">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row>
    <row r="96" spans="2:47">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row>
    <row r="97" spans="2:47">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row>
    <row r="98" spans="2:47">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row>
    <row r="99" spans="2:47">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row>
    <row r="100" spans="2:47">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row>
    <row r="101" spans="2:47">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row>
    <row r="102" spans="2:47">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row>
    <row r="103" spans="2:47">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row>
    <row r="104" spans="2:47">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row>
    <row r="105" spans="2:47">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row>
    <row r="106" spans="2:47">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row>
    <row r="107" spans="2:47">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row>
    <row r="108" spans="2:47">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row>
    <row r="109" spans="2:47">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row>
    <row r="110" spans="2:47">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row>
    <row r="111" spans="2:47">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row>
    <row r="112" spans="2:47">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row>
    <row r="113" spans="2:47">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row>
    <row r="114" spans="2:47">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row>
    <row r="115" spans="2:47">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row>
    <row r="116" spans="2:47">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row>
    <row r="117" spans="2:47">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row>
    <row r="118" spans="2:47">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row>
    <row r="119" spans="2:47">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row>
    <row r="120" spans="2:47">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c r="AS120" s="96"/>
      <c r="AT120" s="96"/>
      <c r="AU120" s="96"/>
    </row>
    <row r="121" spans="2:47">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row>
    <row r="122" spans="2:47">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row>
    <row r="123" spans="2:47">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row>
    <row r="124" spans="2:47">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96"/>
    </row>
    <row r="125" spans="2:47">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c r="AU125" s="96"/>
    </row>
    <row r="126" spans="2:47">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row>
    <row r="127" spans="2:47">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row>
    <row r="128" spans="2:47">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row>
    <row r="129" spans="2:47">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row>
    <row r="130" spans="2:47">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row>
    <row r="131" spans="2:47">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row>
    <row r="132" spans="2:47">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row>
    <row r="133" spans="2:47">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row>
    <row r="134" spans="2:47">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c r="AU134" s="96"/>
    </row>
    <row r="135" spans="2:47">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row>
    <row r="136" spans="2:47">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row>
    <row r="137" spans="2:47">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row>
    <row r="138" spans="2:47">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row>
    <row r="139" spans="2:47">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row>
    <row r="140" spans="2:47">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c r="AU140" s="96"/>
    </row>
    <row r="141" spans="2:47">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row>
    <row r="142" spans="2:47">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AR142" s="96"/>
      <c r="AS142" s="96"/>
      <c r="AT142" s="96"/>
      <c r="AU142" s="96"/>
    </row>
    <row r="143" spans="2:47">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row>
    <row r="144" spans="2:47">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row>
    <row r="145" spans="2:47">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row>
    <row r="146" spans="2:47">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96"/>
    </row>
    <row r="147" spans="2:47">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row>
    <row r="148" spans="2:47">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row>
    <row r="149" spans="2:47">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c r="AR149" s="96"/>
      <c r="AS149" s="96"/>
      <c r="AT149" s="96"/>
      <c r="AU149" s="96"/>
    </row>
    <row r="150" spans="2:47">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row>
    <row r="151" spans="2:47">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c r="AR151" s="96"/>
      <c r="AS151" s="96"/>
      <c r="AT151" s="96"/>
      <c r="AU151" s="96"/>
    </row>
    <row r="152" spans="2:47">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c r="AU152" s="96"/>
    </row>
    <row r="153" spans="2:47">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c r="AU153" s="96"/>
    </row>
    <row r="154" spans="2:47">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c r="AR154" s="96"/>
      <c r="AS154" s="96"/>
      <c r="AT154" s="96"/>
      <c r="AU154" s="96"/>
    </row>
    <row r="155" spans="2:47">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c r="AU155" s="96"/>
    </row>
    <row r="156" spans="2:47">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96"/>
    </row>
    <row r="157" spans="2:47">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c r="AR157" s="96"/>
      <c r="AS157" s="96"/>
      <c r="AT157" s="96"/>
      <c r="AU157" s="96"/>
    </row>
    <row r="158" spans="2:47">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96"/>
    </row>
    <row r="159" spans="2:47">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c r="AU159" s="96"/>
    </row>
    <row r="160" spans="2:47">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c r="AU160" s="96"/>
    </row>
    <row r="161" spans="2:47">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row>
    <row r="162" spans="2:47">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row>
    <row r="163" spans="2:47">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row>
    <row r="164" spans="2:47">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row>
    <row r="165" spans="2:47">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c r="AU165" s="96"/>
    </row>
    <row r="166" spans="2:47">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row>
    <row r="167" spans="2:47">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c r="AU167" s="96"/>
    </row>
    <row r="168" spans="2:47">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row>
    <row r="169" spans="2:47">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row>
    <row r="170" spans="2:47">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row>
    <row r="171" spans="2:47">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96"/>
      <c r="AM171" s="96"/>
      <c r="AN171" s="96"/>
      <c r="AO171" s="96"/>
      <c r="AP171" s="96"/>
      <c r="AQ171" s="96"/>
      <c r="AR171" s="96"/>
      <c r="AS171" s="96"/>
      <c r="AT171" s="96"/>
      <c r="AU171" s="96"/>
    </row>
    <row r="172" spans="2:47">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c r="AG172" s="96"/>
      <c r="AH172" s="96"/>
      <c r="AI172" s="96"/>
      <c r="AJ172" s="96"/>
      <c r="AK172" s="96"/>
      <c r="AL172" s="96"/>
      <c r="AM172" s="96"/>
      <c r="AN172" s="96"/>
      <c r="AO172" s="96"/>
      <c r="AP172" s="96"/>
      <c r="AQ172" s="96"/>
      <c r="AR172" s="96"/>
      <c r="AS172" s="96"/>
      <c r="AT172" s="96"/>
      <c r="AU172" s="96"/>
    </row>
    <row r="173" spans="2:47">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row>
    <row r="174" spans="2:47">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row>
    <row r="175" spans="2:47">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row>
    <row r="176" spans="2:47">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row>
    <row r="177" spans="2:47">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row>
    <row r="178" spans="2:47">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row>
    <row r="179" spans="2:47">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row>
    <row r="180" spans="2:47">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96"/>
    </row>
    <row r="181" spans="2:47">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row>
    <row r="182" spans="2:47">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row>
    <row r="183" spans="2:47">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row>
    <row r="184" spans="2:47">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row>
    <row r="185" spans="2:47">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row>
    <row r="186" spans="2:47">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row>
    <row r="187" spans="2:47">
      <c r="B187" s="96"/>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c r="AU187" s="96"/>
    </row>
    <row r="188" spans="2:47">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row>
    <row r="189" spans="2:47">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row>
    <row r="190" spans="2:47">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c r="AR190" s="96"/>
      <c r="AS190" s="96"/>
      <c r="AT190" s="96"/>
      <c r="AU190" s="96"/>
    </row>
    <row r="191" spans="2:47">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c r="AU191" s="96"/>
    </row>
    <row r="192" spans="2:47">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c r="AU192" s="96"/>
    </row>
    <row r="193" spans="2:47">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row>
    <row r="194" spans="2:47">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c r="AR194" s="96"/>
      <c r="AS194" s="96"/>
      <c r="AT194" s="96"/>
      <c r="AU194" s="96"/>
    </row>
    <row r="195" spans="2:47">
      <c r="B195" s="96"/>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c r="AU195" s="96"/>
    </row>
    <row r="196" spans="2:47">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6"/>
      <c r="AM196" s="96"/>
      <c r="AN196" s="96"/>
      <c r="AO196" s="96"/>
      <c r="AP196" s="96"/>
      <c r="AQ196" s="96"/>
      <c r="AR196" s="96"/>
      <c r="AS196" s="96"/>
      <c r="AT196" s="96"/>
      <c r="AU196" s="96"/>
    </row>
    <row r="197" spans="2:47">
      <c r="B197" s="96"/>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row>
    <row r="198" spans="2:47">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6"/>
      <c r="AM198" s="96"/>
      <c r="AN198" s="96"/>
      <c r="AO198" s="96"/>
      <c r="AP198" s="96"/>
      <c r="AQ198" s="96"/>
      <c r="AR198" s="96"/>
      <c r="AS198" s="96"/>
      <c r="AT198" s="96"/>
      <c r="AU198" s="96"/>
    </row>
    <row r="199" spans="2:47">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row>
    <row r="200" spans="2:47">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row>
    <row r="201" spans="2:47">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6"/>
      <c r="AN201" s="96"/>
      <c r="AO201" s="96"/>
      <c r="AP201" s="96"/>
      <c r="AQ201" s="96"/>
      <c r="AR201" s="96"/>
      <c r="AS201" s="96"/>
      <c r="AT201" s="96"/>
      <c r="AU201" s="96"/>
    </row>
    <row r="202" spans="2:47">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c r="AU202" s="96"/>
    </row>
    <row r="203" spans="2:47">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96"/>
      <c r="AG203" s="96"/>
      <c r="AH203" s="96"/>
      <c r="AI203" s="96"/>
      <c r="AJ203" s="96"/>
      <c r="AK203" s="96"/>
      <c r="AL203" s="96"/>
      <c r="AM203" s="96"/>
      <c r="AN203" s="96"/>
      <c r="AO203" s="96"/>
      <c r="AP203" s="96"/>
      <c r="AQ203" s="96"/>
      <c r="AR203" s="96"/>
      <c r="AS203" s="96"/>
      <c r="AT203" s="96"/>
      <c r="AU203" s="96"/>
    </row>
    <row r="204" spans="2:47">
      <c r="B204" s="96"/>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96"/>
      <c r="AG204" s="96"/>
      <c r="AH204" s="96"/>
      <c r="AI204" s="96"/>
      <c r="AJ204" s="96"/>
      <c r="AK204" s="96"/>
      <c r="AL204" s="96"/>
      <c r="AM204" s="96"/>
      <c r="AN204" s="96"/>
      <c r="AO204" s="96"/>
      <c r="AP204" s="96"/>
      <c r="AQ204" s="96"/>
      <c r="AR204" s="96"/>
      <c r="AS204" s="96"/>
      <c r="AT204" s="96"/>
      <c r="AU204" s="96"/>
    </row>
    <row r="205" spans="2:47">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c r="AR205" s="96"/>
      <c r="AS205" s="96"/>
      <c r="AT205" s="96"/>
      <c r="AU205" s="96"/>
    </row>
    <row r="206" spans="2:47">
      <c r="B206" s="96"/>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6"/>
      <c r="AH206" s="96"/>
      <c r="AI206" s="96"/>
      <c r="AJ206" s="96"/>
      <c r="AK206" s="96"/>
      <c r="AL206" s="96"/>
      <c r="AM206" s="96"/>
      <c r="AN206" s="96"/>
      <c r="AO206" s="96"/>
      <c r="AP206" s="96"/>
      <c r="AQ206" s="96"/>
      <c r="AR206" s="96"/>
      <c r="AS206" s="96"/>
      <c r="AT206" s="96"/>
      <c r="AU206" s="96"/>
    </row>
    <row r="207" spans="2:47">
      <c r="B207" s="96"/>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c r="AA207" s="96"/>
      <c r="AB207" s="96"/>
      <c r="AC207" s="96"/>
      <c r="AD207" s="96"/>
      <c r="AE207" s="96"/>
      <c r="AF207" s="96"/>
      <c r="AG207" s="96"/>
      <c r="AH207" s="96"/>
      <c r="AI207" s="96"/>
      <c r="AJ207" s="96"/>
      <c r="AK207" s="96"/>
      <c r="AL207" s="96"/>
      <c r="AM207" s="96"/>
      <c r="AN207" s="96"/>
      <c r="AO207" s="96"/>
      <c r="AP207" s="96"/>
      <c r="AQ207" s="96"/>
      <c r="AR207" s="96"/>
      <c r="AS207" s="96"/>
      <c r="AT207" s="96"/>
      <c r="AU207" s="96"/>
    </row>
    <row r="208" spans="2:47">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c r="AO208" s="96"/>
      <c r="AP208" s="96"/>
      <c r="AQ208" s="96"/>
      <c r="AR208" s="96"/>
      <c r="AS208" s="96"/>
      <c r="AT208" s="96"/>
      <c r="AU208" s="96"/>
    </row>
    <row r="209" spans="2:47">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c r="AG209" s="96"/>
      <c r="AH209" s="96"/>
      <c r="AI209" s="96"/>
      <c r="AJ209" s="96"/>
      <c r="AK209" s="96"/>
      <c r="AL209" s="96"/>
      <c r="AM209" s="96"/>
      <c r="AN209" s="96"/>
      <c r="AO209" s="96"/>
      <c r="AP209" s="96"/>
      <c r="AQ209" s="96"/>
      <c r="AR209" s="96"/>
      <c r="AS209" s="96"/>
      <c r="AT209" s="96"/>
      <c r="AU209" s="96"/>
    </row>
    <row r="210" spans="2:47">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c r="AU210" s="96"/>
    </row>
    <row r="211" spans="2:47">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c r="AG211" s="96"/>
      <c r="AH211" s="96"/>
      <c r="AI211" s="96"/>
      <c r="AJ211" s="96"/>
      <c r="AK211" s="96"/>
      <c r="AL211" s="96"/>
      <c r="AM211" s="96"/>
      <c r="AN211" s="96"/>
      <c r="AO211" s="96"/>
      <c r="AP211" s="96"/>
      <c r="AQ211" s="96"/>
      <c r="AR211" s="96"/>
      <c r="AS211" s="96"/>
      <c r="AT211" s="96"/>
      <c r="AU211" s="96"/>
    </row>
    <row r="212" spans="2:47">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6"/>
      <c r="AE212" s="96"/>
      <c r="AF212" s="96"/>
      <c r="AG212" s="96"/>
      <c r="AH212" s="96"/>
      <c r="AI212" s="96"/>
      <c r="AJ212" s="96"/>
      <c r="AK212" s="96"/>
      <c r="AL212" s="96"/>
      <c r="AM212" s="96"/>
      <c r="AN212" s="96"/>
      <c r="AO212" s="96"/>
      <c r="AP212" s="96"/>
      <c r="AQ212" s="96"/>
      <c r="AR212" s="96"/>
      <c r="AS212" s="96"/>
      <c r="AT212" s="96"/>
      <c r="AU212" s="96"/>
    </row>
    <row r="213" spans="2:47">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96"/>
      <c r="AB213" s="96"/>
      <c r="AC213" s="96"/>
      <c r="AD213" s="96"/>
      <c r="AE213" s="96"/>
      <c r="AF213" s="96"/>
      <c r="AG213" s="96"/>
      <c r="AH213" s="96"/>
      <c r="AI213" s="96"/>
      <c r="AJ213" s="96"/>
      <c r="AK213" s="96"/>
      <c r="AL213" s="96"/>
      <c r="AM213" s="96"/>
      <c r="AN213" s="96"/>
      <c r="AO213" s="96"/>
      <c r="AP213" s="96"/>
      <c r="AQ213" s="96"/>
      <c r="AR213" s="96"/>
      <c r="AS213" s="96"/>
      <c r="AT213" s="96"/>
      <c r="AU213" s="96"/>
    </row>
    <row r="214" spans="2:47">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row>
    <row r="215" spans="2:47">
      <c r="B215" s="96"/>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row>
    <row r="216" spans="2:47">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6"/>
      <c r="AE216" s="96"/>
      <c r="AF216" s="96"/>
      <c r="AG216" s="96"/>
      <c r="AH216" s="96"/>
      <c r="AI216" s="96"/>
      <c r="AJ216" s="96"/>
      <c r="AK216" s="96"/>
      <c r="AL216" s="96"/>
      <c r="AM216" s="96"/>
      <c r="AN216" s="96"/>
      <c r="AO216" s="96"/>
      <c r="AP216" s="96"/>
      <c r="AQ216" s="96"/>
      <c r="AR216" s="96"/>
      <c r="AS216" s="96"/>
      <c r="AT216" s="96"/>
      <c r="AU216" s="96"/>
    </row>
    <row r="217" spans="2:47">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c r="AD217" s="96"/>
      <c r="AE217" s="96"/>
      <c r="AF217" s="96"/>
      <c r="AG217" s="96"/>
      <c r="AH217" s="96"/>
      <c r="AI217" s="96"/>
      <c r="AJ217" s="96"/>
      <c r="AK217" s="96"/>
      <c r="AL217" s="96"/>
      <c r="AM217" s="96"/>
      <c r="AN217" s="96"/>
      <c r="AO217" s="96"/>
      <c r="AP217" s="96"/>
      <c r="AQ217" s="96"/>
      <c r="AR217" s="96"/>
      <c r="AS217" s="96"/>
      <c r="AT217" s="96"/>
      <c r="AU217" s="96"/>
    </row>
    <row r="218" spans="2:47">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96"/>
      <c r="AG218" s="96"/>
      <c r="AH218" s="96"/>
      <c r="AI218" s="96"/>
      <c r="AJ218" s="96"/>
      <c r="AK218" s="96"/>
      <c r="AL218" s="96"/>
      <c r="AM218" s="96"/>
      <c r="AN218" s="96"/>
      <c r="AO218" s="96"/>
      <c r="AP218" s="96"/>
      <c r="AQ218" s="96"/>
      <c r="AR218" s="96"/>
      <c r="AS218" s="96"/>
      <c r="AT218" s="96"/>
      <c r="AU218" s="96"/>
    </row>
    <row r="219" spans="2:47">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c r="AD219" s="96"/>
      <c r="AE219" s="96"/>
      <c r="AF219" s="96"/>
      <c r="AG219" s="96"/>
      <c r="AH219" s="96"/>
      <c r="AI219" s="96"/>
      <c r="AJ219" s="96"/>
      <c r="AK219" s="96"/>
      <c r="AL219" s="96"/>
      <c r="AM219" s="96"/>
      <c r="AN219" s="96"/>
      <c r="AO219" s="96"/>
      <c r="AP219" s="96"/>
      <c r="AQ219" s="96"/>
      <c r="AR219" s="96"/>
      <c r="AS219" s="96"/>
      <c r="AT219" s="96"/>
      <c r="AU219" s="96"/>
    </row>
    <row r="220" spans="2:47">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96"/>
      <c r="AJ220" s="96"/>
      <c r="AK220" s="96"/>
      <c r="AL220" s="96"/>
      <c r="AM220" s="96"/>
      <c r="AN220" s="96"/>
      <c r="AO220" s="96"/>
      <c r="AP220" s="96"/>
      <c r="AQ220" s="96"/>
      <c r="AR220" s="96"/>
      <c r="AS220" s="96"/>
      <c r="AT220" s="96"/>
      <c r="AU220" s="96"/>
    </row>
    <row r="221" spans="2:47">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row>
    <row r="222" spans="2:47">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96"/>
      <c r="AC222" s="96"/>
      <c r="AD222" s="96"/>
      <c r="AE222" s="96"/>
      <c r="AF222" s="96"/>
      <c r="AG222" s="96"/>
      <c r="AH222" s="96"/>
      <c r="AI222" s="96"/>
      <c r="AJ222" s="96"/>
      <c r="AK222" s="96"/>
      <c r="AL222" s="96"/>
      <c r="AM222" s="96"/>
      <c r="AN222" s="96"/>
      <c r="AO222" s="96"/>
      <c r="AP222" s="96"/>
      <c r="AQ222" s="96"/>
      <c r="AR222" s="96"/>
      <c r="AS222" s="96"/>
      <c r="AT222" s="96"/>
      <c r="AU222" s="96"/>
    </row>
    <row r="223" spans="2:47">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c r="AA223" s="96"/>
      <c r="AB223" s="96"/>
      <c r="AC223" s="96"/>
      <c r="AD223" s="96"/>
      <c r="AE223" s="96"/>
      <c r="AF223" s="96"/>
      <c r="AG223" s="96"/>
      <c r="AH223" s="96"/>
      <c r="AI223" s="96"/>
      <c r="AJ223" s="96"/>
      <c r="AK223" s="96"/>
      <c r="AL223" s="96"/>
      <c r="AM223" s="96"/>
      <c r="AN223" s="96"/>
      <c r="AO223" s="96"/>
      <c r="AP223" s="96"/>
      <c r="AQ223" s="96"/>
      <c r="AR223" s="96"/>
      <c r="AS223" s="96"/>
      <c r="AT223" s="96"/>
      <c r="AU223" s="96"/>
    </row>
    <row r="224" spans="2:47">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96"/>
      <c r="AB224" s="96"/>
      <c r="AC224" s="96"/>
      <c r="AD224" s="96"/>
      <c r="AE224" s="96"/>
      <c r="AF224" s="96"/>
      <c r="AG224" s="96"/>
      <c r="AH224" s="96"/>
      <c r="AI224" s="96"/>
      <c r="AJ224" s="96"/>
      <c r="AK224" s="96"/>
      <c r="AL224" s="96"/>
      <c r="AM224" s="96"/>
      <c r="AN224" s="96"/>
      <c r="AO224" s="96"/>
      <c r="AP224" s="96"/>
      <c r="AQ224" s="96"/>
      <c r="AR224" s="96"/>
      <c r="AS224" s="96"/>
      <c r="AT224" s="96"/>
      <c r="AU224" s="96"/>
    </row>
    <row r="225" spans="2:47">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c r="AA225" s="96"/>
      <c r="AB225" s="96"/>
      <c r="AC225" s="96"/>
      <c r="AD225" s="96"/>
      <c r="AE225" s="96"/>
      <c r="AF225" s="96"/>
      <c r="AG225" s="96"/>
      <c r="AH225" s="96"/>
      <c r="AI225" s="96"/>
      <c r="AJ225" s="96"/>
      <c r="AK225" s="96"/>
      <c r="AL225" s="96"/>
      <c r="AM225" s="96"/>
      <c r="AN225" s="96"/>
      <c r="AO225" s="96"/>
      <c r="AP225" s="96"/>
      <c r="AQ225" s="96"/>
      <c r="AR225" s="96"/>
      <c r="AS225" s="96"/>
      <c r="AT225" s="96"/>
      <c r="AU225" s="96"/>
    </row>
    <row r="226" spans="2:47">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c r="AD226" s="96"/>
      <c r="AE226" s="96"/>
      <c r="AF226" s="96"/>
      <c r="AG226" s="96"/>
      <c r="AH226" s="96"/>
      <c r="AI226" s="96"/>
      <c r="AJ226" s="96"/>
      <c r="AK226" s="96"/>
      <c r="AL226" s="96"/>
      <c r="AM226" s="96"/>
      <c r="AN226" s="96"/>
      <c r="AO226" s="96"/>
      <c r="AP226" s="96"/>
      <c r="AQ226" s="96"/>
      <c r="AR226" s="96"/>
      <c r="AS226" s="96"/>
      <c r="AT226" s="96"/>
      <c r="AU226" s="96"/>
    </row>
    <row r="227" spans="2:47">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c r="AA227" s="96"/>
      <c r="AB227" s="96"/>
      <c r="AC227" s="96"/>
      <c r="AD227" s="96"/>
      <c r="AE227" s="96"/>
      <c r="AF227" s="96"/>
      <c r="AG227" s="96"/>
      <c r="AH227" s="96"/>
      <c r="AI227" s="96"/>
      <c r="AJ227" s="96"/>
      <c r="AK227" s="96"/>
      <c r="AL227" s="96"/>
      <c r="AM227" s="96"/>
      <c r="AN227" s="96"/>
      <c r="AO227" s="96"/>
      <c r="AP227" s="96"/>
      <c r="AQ227" s="96"/>
      <c r="AR227" s="96"/>
      <c r="AS227" s="96"/>
      <c r="AT227" s="96"/>
      <c r="AU227" s="96"/>
    </row>
    <row r="228" spans="2:47">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c r="AA228" s="96"/>
      <c r="AB228" s="96"/>
      <c r="AC228" s="96"/>
      <c r="AD228" s="96"/>
      <c r="AE228" s="96"/>
      <c r="AF228" s="96"/>
      <c r="AG228" s="96"/>
      <c r="AH228" s="96"/>
      <c r="AI228" s="96"/>
      <c r="AJ228" s="96"/>
      <c r="AK228" s="96"/>
      <c r="AL228" s="96"/>
      <c r="AM228" s="96"/>
      <c r="AN228" s="96"/>
      <c r="AO228" s="96"/>
      <c r="AP228" s="96"/>
      <c r="AQ228" s="96"/>
      <c r="AR228" s="96"/>
      <c r="AS228" s="96"/>
      <c r="AT228" s="96"/>
      <c r="AU228" s="96"/>
    </row>
    <row r="229" spans="2:47">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c r="AU229" s="96"/>
    </row>
    <row r="230" spans="2:47">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6"/>
      <c r="AM230" s="96"/>
      <c r="AN230" s="96"/>
      <c r="AO230" s="96"/>
      <c r="AP230" s="96"/>
      <c r="AQ230" s="96"/>
      <c r="AR230" s="96"/>
      <c r="AS230" s="96"/>
      <c r="AT230" s="96"/>
      <c r="AU230" s="96"/>
    </row>
    <row r="231" spans="2:47">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96"/>
      <c r="AB231" s="96"/>
      <c r="AC231" s="96"/>
      <c r="AD231" s="96"/>
      <c r="AE231" s="96"/>
      <c r="AF231" s="96"/>
      <c r="AG231" s="96"/>
      <c r="AH231" s="96"/>
      <c r="AI231" s="96"/>
      <c r="AJ231" s="96"/>
      <c r="AK231" s="96"/>
      <c r="AL231" s="96"/>
      <c r="AM231" s="96"/>
      <c r="AN231" s="96"/>
      <c r="AO231" s="96"/>
      <c r="AP231" s="96"/>
      <c r="AQ231" s="96"/>
      <c r="AR231" s="96"/>
      <c r="AS231" s="96"/>
      <c r="AT231" s="96"/>
      <c r="AU231" s="96"/>
    </row>
    <row r="232" spans="2:47">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c r="AA232" s="96"/>
      <c r="AB232" s="96"/>
      <c r="AC232" s="96"/>
      <c r="AD232" s="96"/>
      <c r="AE232" s="96"/>
      <c r="AF232" s="96"/>
      <c r="AG232" s="96"/>
      <c r="AH232" s="96"/>
      <c r="AI232" s="96"/>
      <c r="AJ232" s="96"/>
      <c r="AK232" s="96"/>
      <c r="AL232" s="96"/>
      <c r="AM232" s="96"/>
      <c r="AN232" s="96"/>
      <c r="AO232" s="96"/>
      <c r="AP232" s="96"/>
      <c r="AQ232" s="96"/>
      <c r="AR232" s="96"/>
      <c r="AS232" s="96"/>
      <c r="AT232" s="96"/>
      <c r="AU232" s="96"/>
    </row>
    <row r="233" spans="2:47">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96"/>
      <c r="AP233" s="96"/>
      <c r="AQ233" s="96"/>
      <c r="AR233" s="96"/>
      <c r="AS233" s="96"/>
      <c r="AT233" s="96"/>
      <c r="AU233" s="96"/>
    </row>
    <row r="234" spans="2:47">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96"/>
      <c r="AC234" s="96"/>
      <c r="AD234" s="96"/>
      <c r="AE234" s="96"/>
      <c r="AF234" s="96"/>
      <c r="AG234" s="96"/>
      <c r="AH234" s="96"/>
      <c r="AI234" s="96"/>
      <c r="AJ234" s="96"/>
      <c r="AK234" s="96"/>
      <c r="AL234" s="96"/>
      <c r="AM234" s="96"/>
      <c r="AN234" s="96"/>
      <c r="AO234" s="96"/>
      <c r="AP234" s="96"/>
      <c r="AQ234" s="96"/>
      <c r="AR234" s="96"/>
      <c r="AS234" s="96"/>
      <c r="AT234" s="96"/>
      <c r="AU234" s="96"/>
    </row>
    <row r="235" spans="2:47">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c r="AD235" s="96"/>
      <c r="AE235" s="96"/>
      <c r="AF235" s="96"/>
      <c r="AG235" s="96"/>
      <c r="AH235" s="96"/>
      <c r="AI235" s="96"/>
      <c r="AJ235" s="96"/>
      <c r="AK235" s="96"/>
      <c r="AL235" s="96"/>
      <c r="AM235" s="96"/>
      <c r="AN235" s="96"/>
      <c r="AO235" s="96"/>
      <c r="AP235" s="96"/>
      <c r="AQ235" s="96"/>
      <c r="AR235" s="96"/>
      <c r="AS235" s="96"/>
      <c r="AT235" s="96"/>
      <c r="AU235" s="96"/>
    </row>
    <row r="236" spans="2:47">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96"/>
      <c r="AG236" s="96"/>
      <c r="AH236" s="96"/>
      <c r="AI236" s="96"/>
      <c r="AJ236" s="96"/>
      <c r="AK236" s="96"/>
      <c r="AL236" s="96"/>
      <c r="AM236" s="96"/>
      <c r="AN236" s="96"/>
      <c r="AO236" s="96"/>
      <c r="AP236" s="96"/>
      <c r="AQ236" s="96"/>
      <c r="AR236" s="96"/>
      <c r="AS236" s="96"/>
      <c r="AT236" s="96"/>
      <c r="AU236" s="96"/>
    </row>
    <row r="237" spans="2:47">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96"/>
      <c r="AC237" s="96"/>
      <c r="AD237" s="96"/>
      <c r="AE237" s="96"/>
      <c r="AF237" s="96"/>
      <c r="AG237" s="96"/>
      <c r="AH237" s="96"/>
      <c r="AI237" s="96"/>
      <c r="AJ237" s="96"/>
      <c r="AK237" s="96"/>
      <c r="AL237" s="96"/>
      <c r="AM237" s="96"/>
      <c r="AN237" s="96"/>
      <c r="AO237" s="96"/>
      <c r="AP237" s="96"/>
      <c r="AQ237" s="96"/>
      <c r="AR237" s="96"/>
      <c r="AS237" s="96"/>
      <c r="AT237" s="96"/>
      <c r="AU237" s="96"/>
    </row>
    <row r="238" spans="2:47">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96"/>
      <c r="AP238" s="96"/>
      <c r="AQ238" s="96"/>
      <c r="AR238" s="96"/>
      <c r="AS238" s="96"/>
      <c r="AT238" s="96"/>
      <c r="AU238" s="96"/>
    </row>
    <row r="239" spans="2:47">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c r="AU239" s="96"/>
    </row>
    <row r="240" spans="2:47">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6"/>
      <c r="AN240" s="96"/>
      <c r="AO240" s="96"/>
      <c r="AP240" s="96"/>
      <c r="AQ240" s="96"/>
      <c r="AR240" s="96"/>
      <c r="AS240" s="96"/>
      <c r="AT240" s="96"/>
      <c r="AU240" s="96"/>
    </row>
    <row r="241" spans="2:47">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c r="AA241" s="96"/>
      <c r="AB241" s="96"/>
      <c r="AC241" s="96"/>
      <c r="AD241" s="96"/>
      <c r="AE241" s="96"/>
      <c r="AF241" s="96"/>
      <c r="AG241" s="96"/>
      <c r="AH241" s="96"/>
      <c r="AI241" s="96"/>
      <c r="AJ241" s="96"/>
      <c r="AK241" s="96"/>
      <c r="AL241" s="96"/>
      <c r="AM241" s="96"/>
      <c r="AN241" s="96"/>
      <c r="AO241" s="96"/>
      <c r="AP241" s="96"/>
      <c r="AQ241" s="96"/>
      <c r="AR241" s="96"/>
      <c r="AS241" s="96"/>
      <c r="AT241" s="96"/>
      <c r="AU241" s="96"/>
    </row>
    <row r="242" spans="2:47">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96"/>
      <c r="AB242" s="96"/>
      <c r="AC242" s="96"/>
      <c r="AD242" s="96"/>
      <c r="AE242" s="96"/>
      <c r="AF242" s="96"/>
      <c r="AG242" s="96"/>
      <c r="AH242" s="96"/>
      <c r="AI242" s="96"/>
      <c r="AJ242" s="96"/>
      <c r="AK242" s="96"/>
      <c r="AL242" s="96"/>
      <c r="AM242" s="96"/>
      <c r="AN242" s="96"/>
      <c r="AO242" s="96"/>
      <c r="AP242" s="96"/>
      <c r="AQ242" s="96"/>
      <c r="AR242" s="96"/>
      <c r="AS242" s="96"/>
      <c r="AT242" s="96"/>
      <c r="AU242" s="96"/>
    </row>
    <row r="243" spans="2:47">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c r="AA243" s="96"/>
      <c r="AB243" s="96"/>
      <c r="AC243" s="96"/>
      <c r="AD243" s="96"/>
      <c r="AE243" s="96"/>
      <c r="AF243" s="96"/>
      <c r="AG243" s="96"/>
      <c r="AH243" s="96"/>
      <c r="AI243" s="96"/>
      <c r="AJ243" s="96"/>
      <c r="AK243" s="96"/>
      <c r="AL243" s="96"/>
      <c r="AM243" s="96"/>
      <c r="AN243" s="96"/>
      <c r="AO243" s="96"/>
      <c r="AP243" s="96"/>
      <c r="AQ243" s="96"/>
      <c r="AR243" s="96"/>
      <c r="AS243" s="96"/>
      <c r="AT243" s="96"/>
      <c r="AU243" s="96"/>
    </row>
    <row r="244" spans="2:47">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96"/>
      <c r="AC244" s="96"/>
      <c r="AD244" s="96"/>
      <c r="AE244" s="96"/>
      <c r="AF244" s="96"/>
      <c r="AG244" s="96"/>
      <c r="AH244" s="96"/>
      <c r="AI244" s="96"/>
      <c r="AJ244" s="96"/>
      <c r="AK244" s="96"/>
      <c r="AL244" s="96"/>
      <c r="AM244" s="96"/>
      <c r="AN244" s="96"/>
      <c r="AO244" s="96"/>
      <c r="AP244" s="96"/>
      <c r="AQ244" s="96"/>
      <c r="AR244" s="96"/>
      <c r="AS244" s="96"/>
      <c r="AT244" s="96"/>
      <c r="AU244" s="96"/>
    </row>
    <row r="245" spans="2:47">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row>
    <row r="246" spans="2:47">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c r="AA246" s="96"/>
      <c r="AB246" s="96"/>
      <c r="AC246" s="96"/>
      <c r="AD246" s="96"/>
      <c r="AE246" s="96"/>
      <c r="AF246" s="96"/>
      <c r="AG246" s="96"/>
      <c r="AH246" s="96"/>
      <c r="AI246" s="96"/>
      <c r="AJ246" s="96"/>
      <c r="AK246" s="96"/>
      <c r="AL246" s="96"/>
      <c r="AM246" s="96"/>
      <c r="AN246" s="96"/>
      <c r="AO246" s="96"/>
      <c r="AP246" s="96"/>
      <c r="AQ246" s="96"/>
      <c r="AR246" s="96"/>
      <c r="AS246" s="96"/>
      <c r="AT246" s="96"/>
      <c r="AU246" s="96"/>
    </row>
    <row r="247" spans="2:47">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96"/>
      <c r="AB247" s="96"/>
      <c r="AC247" s="96"/>
      <c r="AD247" s="96"/>
      <c r="AE247" s="96"/>
      <c r="AF247" s="96"/>
      <c r="AG247" s="96"/>
      <c r="AH247" s="96"/>
      <c r="AI247" s="96"/>
      <c r="AJ247" s="96"/>
      <c r="AK247" s="96"/>
      <c r="AL247" s="96"/>
      <c r="AM247" s="96"/>
      <c r="AN247" s="96"/>
      <c r="AO247" s="96"/>
      <c r="AP247" s="96"/>
      <c r="AQ247" s="96"/>
      <c r="AR247" s="96"/>
      <c r="AS247" s="96"/>
      <c r="AT247" s="96"/>
      <c r="AU247" s="96"/>
    </row>
    <row r="248" spans="2:47">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row>
    <row r="249" spans="2:47">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row>
    <row r="250" spans="2:47">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96"/>
      <c r="AB250" s="96"/>
      <c r="AC250" s="96"/>
      <c r="AD250" s="96"/>
      <c r="AE250" s="96"/>
      <c r="AF250" s="96"/>
      <c r="AG250" s="96"/>
      <c r="AH250" s="96"/>
      <c r="AI250" s="96"/>
      <c r="AJ250" s="96"/>
      <c r="AK250" s="96"/>
      <c r="AL250" s="96"/>
      <c r="AM250" s="96"/>
      <c r="AN250" s="96"/>
      <c r="AO250" s="96"/>
      <c r="AP250" s="96"/>
      <c r="AQ250" s="96"/>
      <c r="AR250" s="96"/>
      <c r="AS250" s="96"/>
      <c r="AT250" s="96"/>
      <c r="AU250" s="96"/>
    </row>
    <row r="251" spans="2:47">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c r="AA251" s="96"/>
      <c r="AB251" s="96"/>
      <c r="AC251" s="96"/>
      <c r="AD251" s="96"/>
      <c r="AE251" s="96"/>
      <c r="AF251" s="96"/>
      <c r="AG251" s="96"/>
      <c r="AH251" s="96"/>
      <c r="AI251" s="96"/>
      <c r="AJ251" s="96"/>
      <c r="AK251" s="96"/>
      <c r="AL251" s="96"/>
      <c r="AM251" s="96"/>
      <c r="AN251" s="96"/>
      <c r="AO251" s="96"/>
      <c r="AP251" s="96"/>
      <c r="AQ251" s="96"/>
      <c r="AR251" s="96"/>
      <c r="AS251" s="96"/>
      <c r="AT251" s="96"/>
      <c r="AU251" s="96"/>
    </row>
    <row r="252" spans="2:47">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96"/>
      <c r="AQ252" s="96"/>
      <c r="AR252" s="96"/>
      <c r="AS252" s="96"/>
      <c r="AT252" s="96"/>
      <c r="AU252" s="96"/>
    </row>
    <row r="253" spans="2:47">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row>
    <row r="254" spans="2:47">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row>
    <row r="255" spans="2:47">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c r="AA255" s="96"/>
      <c r="AB255" s="96"/>
      <c r="AC255" s="96"/>
      <c r="AD255" s="96"/>
      <c r="AE255" s="96"/>
      <c r="AF255" s="96"/>
      <c r="AG255" s="96"/>
      <c r="AH255" s="96"/>
      <c r="AI255" s="96"/>
      <c r="AJ255" s="96"/>
      <c r="AK255" s="96"/>
      <c r="AL255" s="96"/>
      <c r="AM255" s="96"/>
      <c r="AN255" s="96"/>
      <c r="AO255" s="96"/>
      <c r="AP255" s="96"/>
      <c r="AQ255" s="96"/>
      <c r="AR255" s="96"/>
      <c r="AS255" s="96"/>
      <c r="AT255" s="96"/>
      <c r="AU255" s="96"/>
    </row>
    <row r="256" spans="2:47">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c r="AA256" s="96"/>
      <c r="AB256" s="96"/>
      <c r="AC256" s="96"/>
      <c r="AD256" s="96"/>
      <c r="AE256" s="96"/>
      <c r="AF256" s="96"/>
      <c r="AG256" s="96"/>
      <c r="AH256" s="96"/>
      <c r="AI256" s="96"/>
      <c r="AJ256" s="96"/>
      <c r="AK256" s="96"/>
      <c r="AL256" s="96"/>
      <c r="AM256" s="96"/>
      <c r="AN256" s="96"/>
      <c r="AO256" s="96"/>
      <c r="AP256" s="96"/>
      <c r="AQ256" s="96"/>
      <c r="AR256" s="96"/>
      <c r="AS256" s="96"/>
      <c r="AT256" s="96"/>
      <c r="AU256" s="96"/>
    </row>
    <row r="257" spans="2:47">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c r="AA257" s="96"/>
      <c r="AB257" s="96"/>
      <c r="AC257" s="96"/>
      <c r="AD257" s="96"/>
      <c r="AE257" s="96"/>
      <c r="AF257" s="96"/>
      <c r="AG257" s="96"/>
      <c r="AH257" s="96"/>
      <c r="AI257" s="96"/>
      <c r="AJ257" s="96"/>
      <c r="AK257" s="96"/>
      <c r="AL257" s="96"/>
      <c r="AM257" s="96"/>
      <c r="AN257" s="96"/>
      <c r="AO257" s="96"/>
      <c r="AP257" s="96"/>
      <c r="AQ257" s="96"/>
      <c r="AR257" s="96"/>
      <c r="AS257" s="96"/>
      <c r="AT257" s="96"/>
      <c r="AU257" s="96"/>
    </row>
    <row r="258" spans="2:47">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c r="AA258" s="96"/>
      <c r="AB258" s="96"/>
      <c r="AC258" s="96"/>
      <c r="AD258" s="96"/>
      <c r="AE258" s="96"/>
      <c r="AF258" s="96"/>
      <c r="AG258" s="96"/>
      <c r="AH258" s="96"/>
      <c r="AI258" s="96"/>
      <c r="AJ258" s="96"/>
      <c r="AK258" s="96"/>
      <c r="AL258" s="96"/>
      <c r="AM258" s="96"/>
      <c r="AN258" s="96"/>
      <c r="AO258" s="96"/>
      <c r="AP258" s="96"/>
      <c r="AQ258" s="96"/>
      <c r="AR258" s="96"/>
      <c r="AS258" s="96"/>
      <c r="AT258" s="96"/>
      <c r="AU258" s="96"/>
    </row>
    <row r="259" spans="2:47">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c r="AA259" s="96"/>
      <c r="AB259" s="96"/>
      <c r="AC259" s="96"/>
      <c r="AD259" s="96"/>
      <c r="AE259" s="96"/>
      <c r="AF259" s="96"/>
      <c r="AG259" s="96"/>
      <c r="AH259" s="96"/>
      <c r="AI259" s="96"/>
      <c r="AJ259" s="96"/>
      <c r="AK259" s="96"/>
      <c r="AL259" s="96"/>
      <c r="AM259" s="96"/>
      <c r="AN259" s="96"/>
      <c r="AO259" s="96"/>
      <c r="AP259" s="96"/>
      <c r="AQ259" s="96"/>
      <c r="AR259" s="96"/>
      <c r="AS259" s="96"/>
      <c r="AT259" s="96"/>
      <c r="AU259" s="96"/>
    </row>
    <row r="260" spans="2:47">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c r="AA260" s="96"/>
      <c r="AB260" s="96"/>
      <c r="AC260" s="96"/>
      <c r="AD260" s="96"/>
      <c r="AE260" s="96"/>
      <c r="AF260" s="96"/>
      <c r="AG260" s="96"/>
      <c r="AH260" s="96"/>
      <c r="AI260" s="96"/>
      <c r="AJ260" s="96"/>
      <c r="AK260" s="96"/>
      <c r="AL260" s="96"/>
      <c r="AM260" s="96"/>
      <c r="AN260" s="96"/>
      <c r="AO260" s="96"/>
      <c r="AP260" s="96"/>
      <c r="AQ260" s="96"/>
      <c r="AR260" s="96"/>
      <c r="AS260" s="96"/>
      <c r="AT260" s="96"/>
      <c r="AU260" s="96"/>
    </row>
    <row r="261" spans="2:47">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c r="AA261" s="96"/>
      <c r="AB261" s="96"/>
      <c r="AC261" s="96"/>
      <c r="AD261" s="96"/>
      <c r="AE261" s="96"/>
      <c r="AF261" s="96"/>
      <c r="AG261" s="96"/>
      <c r="AH261" s="96"/>
      <c r="AI261" s="96"/>
      <c r="AJ261" s="96"/>
      <c r="AK261" s="96"/>
      <c r="AL261" s="96"/>
      <c r="AM261" s="96"/>
      <c r="AN261" s="96"/>
      <c r="AO261" s="96"/>
      <c r="AP261" s="96"/>
      <c r="AQ261" s="96"/>
      <c r="AR261" s="96"/>
      <c r="AS261" s="96"/>
      <c r="AT261" s="96"/>
      <c r="AU261" s="96"/>
    </row>
    <row r="262" spans="2:47">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c r="AA262" s="96"/>
      <c r="AB262" s="96"/>
      <c r="AC262" s="96"/>
      <c r="AD262" s="96"/>
      <c r="AE262" s="96"/>
      <c r="AF262" s="96"/>
      <c r="AG262" s="96"/>
      <c r="AH262" s="96"/>
      <c r="AI262" s="96"/>
      <c r="AJ262" s="96"/>
      <c r="AK262" s="96"/>
      <c r="AL262" s="96"/>
      <c r="AM262" s="96"/>
      <c r="AN262" s="96"/>
      <c r="AO262" s="96"/>
      <c r="AP262" s="96"/>
      <c r="AQ262" s="96"/>
      <c r="AR262" s="96"/>
      <c r="AS262" s="96"/>
      <c r="AT262" s="96"/>
      <c r="AU262" s="96"/>
    </row>
    <row r="263" spans="2:47">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c r="AA263" s="96"/>
      <c r="AB263" s="96"/>
      <c r="AC263" s="96"/>
      <c r="AD263" s="96"/>
      <c r="AE263" s="96"/>
      <c r="AF263" s="96"/>
      <c r="AG263" s="96"/>
      <c r="AH263" s="96"/>
      <c r="AI263" s="96"/>
      <c r="AJ263" s="96"/>
      <c r="AK263" s="96"/>
      <c r="AL263" s="96"/>
      <c r="AM263" s="96"/>
      <c r="AN263" s="96"/>
      <c r="AO263" s="96"/>
      <c r="AP263" s="96"/>
      <c r="AQ263" s="96"/>
      <c r="AR263" s="96"/>
      <c r="AS263" s="96"/>
      <c r="AT263" s="96"/>
      <c r="AU263" s="96"/>
    </row>
    <row r="264" spans="2:47">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c r="AA264" s="96"/>
      <c r="AB264" s="96"/>
      <c r="AC264" s="96"/>
      <c r="AD264" s="96"/>
      <c r="AE264" s="96"/>
      <c r="AF264" s="96"/>
      <c r="AG264" s="96"/>
      <c r="AH264" s="96"/>
      <c r="AI264" s="96"/>
      <c r="AJ264" s="96"/>
      <c r="AK264" s="96"/>
      <c r="AL264" s="96"/>
      <c r="AM264" s="96"/>
      <c r="AN264" s="96"/>
      <c r="AO264" s="96"/>
      <c r="AP264" s="96"/>
      <c r="AQ264" s="96"/>
      <c r="AR264" s="96"/>
      <c r="AS264" s="96"/>
      <c r="AT264" s="96"/>
      <c r="AU264" s="96"/>
    </row>
    <row r="265" spans="2:47">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c r="AA265" s="96"/>
      <c r="AB265" s="96"/>
      <c r="AC265" s="96"/>
      <c r="AD265" s="96"/>
      <c r="AE265" s="96"/>
      <c r="AF265" s="96"/>
      <c r="AG265" s="96"/>
      <c r="AH265" s="96"/>
      <c r="AI265" s="96"/>
      <c r="AJ265" s="96"/>
      <c r="AK265" s="96"/>
      <c r="AL265" s="96"/>
      <c r="AM265" s="96"/>
      <c r="AN265" s="96"/>
      <c r="AO265" s="96"/>
      <c r="AP265" s="96"/>
      <c r="AQ265" s="96"/>
      <c r="AR265" s="96"/>
      <c r="AS265" s="96"/>
      <c r="AT265" s="96"/>
      <c r="AU265" s="96"/>
    </row>
    <row r="266" spans="2:47">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c r="AA266" s="96"/>
      <c r="AB266" s="96"/>
      <c r="AC266" s="96"/>
      <c r="AD266" s="96"/>
      <c r="AE266" s="96"/>
      <c r="AF266" s="96"/>
      <c r="AG266" s="96"/>
      <c r="AH266" s="96"/>
      <c r="AI266" s="96"/>
      <c r="AJ266" s="96"/>
      <c r="AK266" s="96"/>
      <c r="AL266" s="96"/>
      <c r="AM266" s="96"/>
      <c r="AN266" s="96"/>
      <c r="AO266" s="96"/>
      <c r="AP266" s="96"/>
      <c r="AQ266" s="96"/>
      <c r="AR266" s="96"/>
      <c r="AS266" s="96"/>
      <c r="AT266" s="96"/>
      <c r="AU266" s="96"/>
    </row>
    <row r="267" spans="2:47">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c r="AA267" s="96"/>
      <c r="AB267" s="96"/>
      <c r="AC267" s="96"/>
      <c r="AD267" s="96"/>
      <c r="AE267" s="96"/>
      <c r="AF267" s="96"/>
      <c r="AG267" s="96"/>
      <c r="AH267" s="96"/>
      <c r="AI267" s="96"/>
      <c r="AJ267" s="96"/>
      <c r="AK267" s="96"/>
      <c r="AL267" s="96"/>
      <c r="AM267" s="96"/>
      <c r="AN267" s="96"/>
      <c r="AO267" s="96"/>
      <c r="AP267" s="96"/>
      <c r="AQ267" s="96"/>
      <c r="AR267" s="96"/>
      <c r="AS267" s="96"/>
      <c r="AT267" s="96"/>
      <c r="AU267" s="96"/>
    </row>
    <row r="268" spans="2:47">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row>
    <row r="269" spans="2:47">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c r="AA269" s="96"/>
      <c r="AB269" s="96"/>
      <c r="AC269" s="96"/>
      <c r="AD269" s="96"/>
      <c r="AE269" s="96"/>
      <c r="AF269" s="96"/>
      <c r="AG269" s="96"/>
      <c r="AH269" s="96"/>
      <c r="AI269" s="96"/>
      <c r="AJ269" s="96"/>
      <c r="AK269" s="96"/>
      <c r="AL269" s="96"/>
      <c r="AM269" s="96"/>
      <c r="AN269" s="96"/>
      <c r="AO269" s="96"/>
      <c r="AP269" s="96"/>
      <c r="AQ269" s="96"/>
      <c r="AR269" s="96"/>
      <c r="AS269" s="96"/>
      <c r="AT269" s="96"/>
      <c r="AU269" s="96"/>
    </row>
    <row r="270" spans="2:47">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row>
    <row r="271" spans="2:47">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row>
    <row r="272" spans="2:47">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row>
    <row r="273" spans="2:47">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c r="AU273" s="96"/>
    </row>
    <row r="274" spans="2:47">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row>
    <row r="275" spans="2:47">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row>
    <row r="276" spans="2:47">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row>
    <row r="277" spans="2:47">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row>
    <row r="278" spans="2:47">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row>
    <row r="279" spans="2:47">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row>
    <row r="280" spans="2:47">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row>
    <row r="281" spans="2:47">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row>
    <row r="282" spans="2:47">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row>
    <row r="283" spans="2:47">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row>
    <row r="284" spans="2:47">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row>
    <row r="285" spans="2:47">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row>
    <row r="286" spans="2:47">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row>
    <row r="287" spans="2:47">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row>
    <row r="288" spans="2:47">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row>
    <row r="289" spans="2:47">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row>
    <row r="290" spans="2:47">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row>
    <row r="291" spans="2:47">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row>
    <row r="292" spans="2:47">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row>
    <row r="293" spans="2:47">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row>
    <row r="294" spans="2:47">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row>
    <row r="295" spans="2:47">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row>
    <row r="296" spans="2:47">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row>
    <row r="297" spans="2:47">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c r="AU297" s="96"/>
    </row>
    <row r="298" spans="2:47">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row>
    <row r="299" spans="2:47">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row>
    <row r="300" spans="2:47">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c r="AU300" s="96"/>
    </row>
    <row r="301" spans="2:47">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c r="AU301" s="96"/>
    </row>
    <row r="302" spans="2:47">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S302" s="96"/>
      <c r="AT302" s="96"/>
      <c r="AU302" s="96"/>
    </row>
    <row r="303" spans="2:47">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S303" s="96"/>
      <c r="AT303" s="96"/>
      <c r="AU303" s="96"/>
    </row>
    <row r="304" spans="2:47">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S304" s="96"/>
      <c r="AT304" s="96"/>
      <c r="AU304" s="96"/>
    </row>
    <row r="305" spans="2:47">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S305" s="96"/>
      <c r="AT305" s="96"/>
      <c r="AU305" s="96"/>
    </row>
    <row r="306" spans="2:47">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S306" s="96"/>
      <c r="AT306" s="96"/>
      <c r="AU306" s="96"/>
    </row>
    <row r="307" spans="2:47">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S307" s="96"/>
      <c r="AT307" s="96"/>
      <c r="AU307" s="96"/>
    </row>
    <row r="308" spans="2:47">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row>
    <row r="309" spans="2:47">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S309" s="96"/>
      <c r="AT309" s="96"/>
      <c r="AU309" s="96"/>
    </row>
    <row r="310" spans="2:47">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S310" s="96"/>
      <c r="AT310" s="96"/>
      <c r="AU310" s="96"/>
    </row>
    <row r="311" spans="2:47">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S311" s="96"/>
      <c r="AT311" s="96"/>
      <c r="AU311" s="96"/>
    </row>
    <row r="312" spans="2:47">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S312" s="96"/>
      <c r="AT312" s="96"/>
      <c r="AU312" s="96"/>
    </row>
    <row r="313" spans="2:47">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S313" s="96"/>
      <c r="AT313" s="96"/>
      <c r="AU313" s="96"/>
    </row>
    <row r="314" spans="2:47">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S314" s="96"/>
      <c r="AT314" s="96"/>
      <c r="AU314" s="96"/>
    </row>
    <row r="315" spans="2:47">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S315" s="96"/>
      <c r="AT315" s="96"/>
      <c r="AU315" s="96"/>
    </row>
    <row r="316" spans="2:47">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S316" s="96"/>
      <c r="AT316" s="96"/>
      <c r="AU316" s="96"/>
    </row>
    <row r="317" spans="2:47">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S317" s="96"/>
      <c r="AT317" s="96"/>
      <c r="AU317" s="96"/>
    </row>
    <row r="318" spans="2:47">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S318" s="96"/>
      <c r="AT318" s="96"/>
      <c r="AU318" s="96"/>
    </row>
    <row r="319" spans="2:47">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S319" s="96"/>
      <c r="AT319" s="96"/>
      <c r="AU319" s="96"/>
    </row>
    <row r="320" spans="2:47">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S320" s="96"/>
      <c r="AT320" s="96"/>
      <c r="AU320" s="96"/>
    </row>
    <row r="321" spans="2:47">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row>
    <row r="322" spans="2:47">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S322" s="96"/>
      <c r="AT322" s="96"/>
      <c r="AU322" s="96"/>
    </row>
    <row r="323" spans="2:47">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S323" s="96"/>
      <c r="AT323" s="96"/>
      <c r="AU323" s="96"/>
    </row>
    <row r="324" spans="2:47">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S324" s="96"/>
      <c r="AT324" s="96"/>
      <c r="AU324" s="96"/>
    </row>
    <row r="325" spans="2:47">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S325" s="96"/>
      <c r="AT325" s="96"/>
      <c r="AU325" s="96"/>
    </row>
    <row r="326" spans="2:47">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S326" s="96"/>
      <c r="AT326" s="96"/>
      <c r="AU326" s="96"/>
    </row>
    <row r="327" spans="2:47">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S327" s="96"/>
      <c r="AT327" s="96"/>
      <c r="AU327" s="96"/>
    </row>
    <row r="328" spans="2:47">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S328" s="96"/>
      <c r="AT328" s="96"/>
      <c r="AU328" s="96"/>
    </row>
    <row r="329" spans="2:47">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S329" s="96"/>
      <c r="AT329" s="96"/>
      <c r="AU329" s="96"/>
    </row>
    <row r="330" spans="2:47">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S330" s="96"/>
      <c r="AT330" s="96"/>
      <c r="AU330" s="96"/>
    </row>
    <row r="331" spans="2:47">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c r="AU331" s="96"/>
    </row>
    <row r="332" spans="2:47">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S332" s="96"/>
      <c r="AT332" s="96"/>
      <c r="AU332" s="96"/>
    </row>
    <row r="333" spans="2:47">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S333" s="96"/>
      <c r="AT333" s="96"/>
      <c r="AU333" s="96"/>
    </row>
    <row r="334" spans="2:47">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S334" s="96"/>
      <c r="AT334" s="96"/>
      <c r="AU334" s="96"/>
    </row>
    <row r="335" spans="2:47">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S335" s="96"/>
      <c r="AT335" s="96"/>
      <c r="AU335" s="96"/>
    </row>
    <row r="336" spans="2:47">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S336" s="96"/>
      <c r="AT336" s="96"/>
      <c r="AU336" s="96"/>
    </row>
    <row r="337" spans="2:47">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S337" s="96"/>
      <c r="AT337" s="96"/>
      <c r="AU337" s="96"/>
    </row>
    <row r="338" spans="2:47">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S338" s="96"/>
      <c r="AT338" s="96"/>
      <c r="AU338" s="96"/>
    </row>
    <row r="339" spans="2:47">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S339" s="96"/>
      <c r="AT339" s="96"/>
      <c r="AU339" s="96"/>
    </row>
    <row r="340" spans="2:47">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S340" s="96"/>
      <c r="AT340" s="96"/>
      <c r="AU340" s="96"/>
    </row>
    <row r="341" spans="2:47">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S341" s="96"/>
      <c r="AT341" s="96"/>
      <c r="AU341" s="96"/>
    </row>
    <row r="342" spans="2:47">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S342" s="96"/>
      <c r="AT342" s="96"/>
      <c r="AU342" s="96"/>
    </row>
    <row r="343" spans="2:47">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S343" s="96"/>
      <c r="AT343" s="96"/>
      <c r="AU343" s="96"/>
    </row>
    <row r="344" spans="2:47">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S344" s="96"/>
      <c r="AT344" s="96"/>
      <c r="AU344" s="96"/>
    </row>
    <row r="345" spans="2:47">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S345" s="96"/>
      <c r="AT345" s="96"/>
      <c r="AU345" s="96"/>
    </row>
    <row r="346" spans="2:47">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S346" s="96"/>
      <c r="AT346" s="96"/>
      <c r="AU346" s="96"/>
    </row>
    <row r="347" spans="2:47">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S347" s="96"/>
      <c r="AT347" s="96"/>
      <c r="AU347" s="96"/>
    </row>
    <row r="348" spans="2:47">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S348" s="96"/>
      <c r="AT348" s="96"/>
      <c r="AU348" s="96"/>
    </row>
    <row r="349" spans="2:47">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S349" s="96"/>
      <c r="AT349" s="96"/>
      <c r="AU349" s="96"/>
    </row>
    <row r="350" spans="2:47">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S350" s="96"/>
      <c r="AT350" s="96"/>
      <c r="AU350" s="96"/>
    </row>
    <row r="351" spans="2:47">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S351" s="96"/>
      <c r="AT351" s="96"/>
      <c r="AU351" s="96"/>
    </row>
    <row r="352" spans="2:47">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S352" s="96"/>
      <c r="AT352" s="96"/>
      <c r="AU352" s="96"/>
    </row>
    <row r="353" spans="2:47">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S353" s="96"/>
      <c r="AT353" s="96"/>
      <c r="AU353" s="96"/>
    </row>
    <row r="354" spans="2:47">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S354" s="96"/>
      <c r="AT354" s="96"/>
      <c r="AU354" s="96"/>
    </row>
    <row r="355" spans="2:47">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S355" s="96"/>
      <c r="AT355" s="96"/>
      <c r="AU355" s="96"/>
    </row>
    <row r="356" spans="2:47">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S356" s="96"/>
      <c r="AT356" s="96"/>
      <c r="AU356" s="96"/>
    </row>
    <row r="357" spans="2:47">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S357" s="96"/>
      <c r="AT357" s="96"/>
      <c r="AU357" s="96"/>
    </row>
    <row r="358" spans="2:47">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S358" s="96"/>
      <c r="AT358" s="96"/>
      <c r="AU358" s="96"/>
    </row>
    <row r="359" spans="2:47">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S359" s="96"/>
      <c r="AT359" s="96"/>
      <c r="AU359" s="96"/>
    </row>
    <row r="360" spans="2:47">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S360" s="96"/>
      <c r="AT360" s="96"/>
      <c r="AU360" s="96"/>
    </row>
    <row r="361" spans="2:47">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S361" s="96"/>
      <c r="AT361" s="96"/>
      <c r="AU361" s="96"/>
    </row>
    <row r="362" spans="2:47">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S362" s="96"/>
      <c r="AT362" s="96"/>
      <c r="AU362" s="96"/>
    </row>
    <row r="363" spans="2:47">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S363" s="96"/>
      <c r="AT363" s="96"/>
      <c r="AU363" s="96"/>
    </row>
    <row r="364" spans="2:47">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S364" s="96"/>
      <c r="AT364" s="96"/>
      <c r="AU364" s="96"/>
    </row>
    <row r="365" spans="2:47">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S365" s="96"/>
      <c r="AT365" s="96"/>
      <c r="AU365" s="96"/>
    </row>
    <row r="366" spans="2:47">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S366" s="96"/>
      <c r="AT366" s="96"/>
      <c r="AU366" s="96"/>
    </row>
    <row r="367" spans="2:47">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S367" s="96"/>
      <c r="AT367" s="96"/>
      <c r="AU367" s="96"/>
    </row>
    <row r="368" spans="2:47">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row>
    <row r="369" spans="2:47">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row>
  </sheetData>
  <sheetProtection algorithmName="SHA-512" hashValue="LO3H6JzWuFHga++YZJmOXuwOwRF1WTROAhgRGSYkrzrzUI0J9OGIDWTo6yd0N2N84KBteoybl76vQHy6dU5lKQ==" saltValue="RJjQhSQUBC2JkbeFbjXVNA==" spinCount="100000" sheet="1" objects="1" scenarios="1"/>
  <mergeCells count="1">
    <mergeCell ref="B1:AG1"/>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sheetPr>
  <dimension ref="A1:AN346"/>
  <sheetViews>
    <sheetView zoomScale="60" zoomScaleNormal="60" zoomScaleSheetLayoutView="50" workbookViewId="0">
      <selection activeCell="C11" sqref="C11"/>
    </sheetView>
  </sheetViews>
  <sheetFormatPr defaultColWidth="9.1796875" defaultRowHeight="14.5"/>
  <cols>
    <col min="1" max="1" width="47.1796875" customWidth="1"/>
    <col min="2" max="2" width="62.1796875" customWidth="1"/>
    <col min="3" max="3" width="46" customWidth="1"/>
    <col min="4" max="4" width="58.26953125" customWidth="1"/>
    <col min="5" max="5" width="17.81640625" customWidth="1"/>
    <col min="6" max="6" width="21.453125" customWidth="1"/>
    <col min="7" max="7" width="14.453125" bestFit="1" customWidth="1"/>
    <col min="8" max="8" width="23.1796875" customWidth="1"/>
    <col min="9" max="10" width="11" customWidth="1"/>
    <col min="11" max="11" width="21.1796875" customWidth="1"/>
    <col min="12" max="12" width="36.26953125" customWidth="1"/>
    <col min="13" max="13" width="20.453125" customWidth="1"/>
    <col min="14" max="15" width="9.1796875" customWidth="1"/>
    <col min="16" max="16" width="27.453125" customWidth="1"/>
    <col min="17" max="17" width="16" bestFit="1" customWidth="1"/>
  </cols>
  <sheetData>
    <row r="1" spans="1:36" ht="26">
      <c r="A1" s="537" t="s">
        <v>119</v>
      </c>
      <c r="B1" s="537"/>
      <c r="C1" s="537"/>
      <c r="D1" s="537"/>
      <c r="E1" s="537"/>
      <c r="F1" s="537"/>
      <c r="G1" s="537"/>
      <c r="H1" s="537"/>
      <c r="I1" s="22"/>
      <c r="J1" s="22"/>
      <c r="K1" s="22"/>
      <c r="L1" s="22"/>
      <c r="M1" s="31"/>
      <c r="N1" s="31"/>
      <c r="O1" s="31"/>
      <c r="P1" s="31"/>
      <c r="Q1" s="31"/>
      <c r="R1" s="31"/>
      <c r="S1" s="31"/>
      <c r="T1" s="31"/>
      <c r="U1" s="31"/>
      <c r="V1" s="31"/>
      <c r="W1" s="31"/>
      <c r="X1" s="31"/>
      <c r="Y1" s="31"/>
      <c r="Z1" s="31"/>
      <c r="AA1" s="31"/>
      <c r="AB1" s="31"/>
      <c r="AC1" s="31"/>
      <c r="AD1" s="31"/>
      <c r="AE1" s="31"/>
      <c r="AF1" s="31"/>
      <c r="AG1" s="31"/>
    </row>
    <row r="2" spans="1:36" ht="21.25" customHeight="1" thickBot="1">
      <c r="A2" s="22"/>
      <c r="B2" s="21"/>
      <c r="C2" s="21"/>
      <c r="D2" s="21"/>
      <c r="E2" s="21"/>
      <c r="F2" s="21"/>
      <c r="G2" s="22"/>
      <c r="H2" s="22"/>
      <c r="I2" s="22"/>
      <c r="J2" s="22"/>
      <c r="K2" s="22"/>
      <c r="L2" s="22"/>
      <c r="M2" s="31"/>
      <c r="N2" s="31"/>
      <c r="O2" s="31"/>
      <c r="P2" s="31"/>
      <c r="Q2" s="31"/>
      <c r="R2" s="31"/>
      <c r="S2" s="31"/>
      <c r="T2" s="31"/>
      <c r="U2" s="31"/>
      <c r="V2" s="31"/>
      <c r="W2" s="31"/>
      <c r="X2" s="31"/>
      <c r="Y2" s="31"/>
      <c r="Z2" s="31"/>
      <c r="AA2" s="31"/>
      <c r="AB2" s="31"/>
      <c r="AC2" s="31"/>
      <c r="AD2" s="31"/>
      <c r="AE2" s="31"/>
      <c r="AF2" s="31"/>
      <c r="AG2" s="31"/>
    </row>
    <row r="3" spans="1:36" ht="31.5" customHeight="1">
      <c r="A3" s="164" t="s">
        <v>120</v>
      </c>
      <c r="B3" s="53" t="str">
        <f>E59 &amp; " of 15 points"</f>
        <v>0 of 15 points</v>
      </c>
      <c r="C3" s="38"/>
      <c r="D3" s="21"/>
      <c r="E3" s="21"/>
      <c r="F3" s="21"/>
      <c r="G3" s="22"/>
      <c r="H3" s="22"/>
      <c r="I3" s="22"/>
      <c r="J3" s="22"/>
      <c r="K3" s="22"/>
      <c r="L3" s="22"/>
      <c r="M3" s="31"/>
      <c r="N3" s="31"/>
      <c r="O3" s="31"/>
      <c r="P3" s="31"/>
      <c r="Q3" s="31"/>
      <c r="R3" s="31"/>
      <c r="S3" s="31"/>
      <c r="T3" s="31"/>
      <c r="U3" s="31"/>
      <c r="V3" s="31"/>
      <c r="W3" s="31"/>
      <c r="X3" s="31"/>
      <c r="Y3" s="31"/>
      <c r="Z3" s="31"/>
      <c r="AA3" s="31"/>
      <c r="AB3" s="31"/>
      <c r="AC3" s="31"/>
      <c r="AD3" s="31"/>
      <c r="AE3" s="31"/>
      <c r="AF3" s="31"/>
      <c r="AG3" s="31"/>
    </row>
    <row r="4" spans="1:36" ht="50" customHeight="1">
      <c r="A4" s="165" t="s">
        <v>121</v>
      </c>
      <c r="B4" s="112" t="str">
        <f>SUM(E24,E25,E30,E35:E36)   &amp; " of " &amp; 8</f>
        <v>0 of 8</v>
      </c>
      <c r="C4" s="21"/>
      <c r="D4" s="21"/>
      <c r="E4" s="21"/>
      <c r="F4" s="21"/>
      <c r="G4" s="22"/>
      <c r="H4" s="22"/>
      <c r="I4" s="22"/>
      <c r="J4" s="22"/>
      <c r="K4" s="22"/>
      <c r="L4" s="22"/>
      <c r="M4" s="31"/>
      <c r="N4" s="31"/>
      <c r="O4" s="31"/>
      <c r="P4" s="31"/>
      <c r="Q4" s="31"/>
      <c r="R4" s="31"/>
      <c r="S4" s="31"/>
      <c r="T4" s="31"/>
      <c r="U4" s="31"/>
      <c r="V4" s="31"/>
      <c r="W4" s="31"/>
      <c r="X4" s="31"/>
      <c r="Y4" s="31"/>
      <c r="Z4" s="31"/>
      <c r="AA4" s="31"/>
      <c r="AB4" s="31"/>
      <c r="AC4" s="31"/>
      <c r="AD4" s="31"/>
      <c r="AE4" s="31"/>
      <c r="AF4" s="31"/>
      <c r="AG4" s="31"/>
    </row>
    <row r="5" spans="1:36" ht="23" customHeight="1">
      <c r="A5" s="166" t="s">
        <v>122</v>
      </c>
      <c r="B5" s="112" t="str">
        <f>SUM(E40:E45)   &amp; " of " &amp; 3</f>
        <v>0 of 3</v>
      </c>
      <c r="C5" s="23"/>
      <c r="D5" s="21"/>
      <c r="E5" s="21"/>
      <c r="F5" s="21"/>
      <c r="G5" s="21"/>
      <c r="H5" s="22"/>
      <c r="I5" s="22"/>
      <c r="J5" s="22"/>
      <c r="K5" s="22"/>
      <c r="L5" s="22"/>
      <c r="M5" s="31"/>
      <c r="N5" s="31"/>
      <c r="O5" s="31"/>
      <c r="P5" s="31"/>
      <c r="Q5" s="31"/>
      <c r="R5" s="31"/>
      <c r="S5" s="31"/>
      <c r="T5" s="31"/>
      <c r="U5" s="31"/>
      <c r="V5" s="31"/>
      <c r="W5" s="31"/>
      <c r="X5" s="31"/>
      <c r="Y5" s="31"/>
      <c r="Z5" s="31"/>
      <c r="AA5" s="31"/>
      <c r="AB5" s="31"/>
      <c r="AC5" s="31"/>
      <c r="AD5" s="31"/>
      <c r="AE5" s="31"/>
      <c r="AF5" s="31"/>
      <c r="AG5" s="31"/>
    </row>
    <row r="6" spans="1:36" ht="23" customHeight="1">
      <c r="A6" s="166" t="s">
        <v>123</v>
      </c>
      <c r="B6" s="112" t="str">
        <f>SUM(E49:E51)   &amp; " of " &amp; 2.5</f>
        <v>0 of 2.5</v>
      </c>
      <c r="C6" s="23"/>
      <c r="D6" s="21"/>
      <c r="E6" s="21"/>
      <c r="F6" s="21"/>
      <c r="G6" s="21"/>
      <c r="H6" s="22"/>
      <c r="I6" s="22"/>
      <c r="J6" s="22"/>
      <c r="K6" s="22"/>
      <c r="L6" s="22"/>
      <c r="M6" s="31"/>
      <c r="N6" s="31"/>
      <c r="O6" s="31"/>
      <c r="P6" s="31"/>
      <c r="Q6" s="31"/>
      <c r="R6" s="31"/>
      <c r="S6" s="31"/>
      <c r="T6" s="31"/>
      <c r="U6" s="31"/>
      <c r="V6" s="31"/>
      <c r="W6" s="31"/>
      <c r="X6" s="31"/>
      <c r="Y6" s="31"/>
      <c r="Z6" s="31"/>
      <c r="AA6" s="31"/>
      <c r="AB6" s="31"/>
      <c r="AC6" s="31"/>
      <c r="AD6" s="31"/>
      <c r="AE6" s="31"/>
      <c r="AF6" s="31"/>
      <c r="AG6" s="31"/>
    </row>
    <row r="7" spans="1:36" ht="23" customHeight="1" thickBot="1">
      <c r="A7" s="148" t="s">
        <v>124</v>
      </c>
      <c r="B7" s="113" t="str">
        <f>SUM(E55:E56)   &amp; " of " &amp; 1.5</f>
        <v>0 of 1.5</v>
      </c>
      <c r="C7" s="23"/>
      <c r="D7" s="21"/>
      <c r="E7" s="21"/>
      <c r="F7" s="21"/>
      <c r="G7" s="21"/>
      <c r="H7" s="22"/>
      <c r="I7" s="22"/>
      <c r="J7" s="22"/>
      <c r="K7" s="22"/>
      <c r="L7" s="22"/>
      <c r="M7" s="31"/>
      <c r="N7" s="31"/>
      <c r="O7" s="31"/>
      <c r="P7" s="31"/>
      <c r="Q7" s="31"/>
      <c r="R7" s="31"/>
      <c r="S7" s="31"/>
      <c r="T7" s="31"/>
      <c r="U7" s="31"/>
      <c r="V7" s="31"/>
      <c r="W7" s="31"/>
      <c r="X7" s="31"/>
      <c r="Y7" s="31"/>
      <c r="Z7" s="31"/>
      <c r="AA7" s="31"/>
      <c r="AB7" s="31"/>
      <c r="AC7" s="31"/>
      <c r="AD7" s="31"/>
      <c r="AE7" s="31"/>
      <c r="AF7" s="31"/>
      <c r="AG7" s="31"/>
    </row>
    <row r="8" spans="1:36" ht="24.75" customHeight="1" thickBot="1">
      <c r="A8" s="167"/>
      <c r="B8" s="133"/>
      <c r="C8" s="25"/>
      <c r="D8" s="21"/>
      <c r="E8" s="21"/>
      <c r="F8" s="21"/>
      <c r="G8" s="22"/>
      <c r="H8" s="22"/>
      <c r="I8" s="22"/>
      <c r="J8" s="22"/>
      <c r="K8" s="22"/>
      <c r="L8" s="22"/>
      <c r="M8" s="31"/>
      <c r="N8" s="31"/>
      <c r="O8" s="31"/>
      <c r="P8" s="31"/>
      <c r="Q8" s="31"/>
      <c r="R8" s="31"/>
      <c r="S8" s="31"/>
      <c r="T8" s="31"/>
      <c r="U8" s="31"/>
      <c r="V8" s="31"/>
      <c r="W8" s="31"/>
      <c r="X8" s="31"/>
      <c r="Y8" s="31"/>
      <c r="Z8" s="31"/>
      <c r="AA8" s="31"/>
      <c r="AB8" s="31"/>
      <c r="AC8" s="31"/>
      <c r="AD8" s="31"/>
      <c r="AE8" s="31"/>
      <c r="AF8" s="31"/>
      <c r="AG8" s="31"/>
    </row>
    <row r="9" spans="1:36" ht="39" customHeight="1" thickBot="1">
      <c r="A9" s="167"/>
      <c r="B9" s="549" t="s">
        <v>125</v>
      </c>
      <c r="C9" s="550"/>
      <c r="D9" s="550"/>
      <c r="E9" s="550"/>
      <c r="F9" s="550"/>
      <c r="G9" s="551"/>
      <c r="H9" s="541" t="s">
        <v>126</v>
      </c>
      <c r="I9" s="21"/>
      <c r="J9" s="22"/>
      <c r="K9" s="22"/>
      <c r="L9" s="22"/>
      <c r="M9" s="22"/>
      <c r="N9" s="22"/>
      <c r="O9" s="22"/>
      <c r="P9" s="31"/>
      <c r="Q9" s="31"/>
      <c r="R9" s="31"/>
      <c r="S9" s="31"/>
      <c r="T9" s="31"/>
      <c r="U9" s="31"/>
      <c r="V9" s="31"/>
      <c r="W9" s="31"/>
      <c r="X9" s="31"/>
      <c r="Y9" s="31"/>
      <c r="Z9" s="31"/>
      <c r="AA9" s="31"/>
      <c r="AB9" s="31"/>
      <c r="AC9" s="31"/>
      <c r="AD9" s="31"/>
      <c r="AE9" s="31"/>
      <c r="AF9" s="31"/>
      <c r="AG9" s="31"/>
      <c r="AH9" s="31"/>
      <c r="AI9" s="31"/>
      <c r="AJ9" s="31"/>
    </row>
    <row r="10" spans="1:36" ht="39" customHeight="1">
      <c r="A10" s="167"/>
      <c r="B10" s="273" t="s">
        <v>127</v>
      </c>
      <c r="C10" s="274" t="s">
        <v>128</v>
      </c>
      <c r="D10" s="274" t="s">
        <v>129</v>
      </c>
      <c r="E10" s="555" t="s">
        <v>130</v>
      </c>
      <c r="F10" s="555"/>
      <c r="G10" s="556"/>
      <c r="H10" s="542"/>
      <c r="I10" s="21"/>
      <c r="J10" s="22"/>
      <c r="K10" s="22"/>
      <c r="L10" s="22"/>
      <c r="M10" s="22"/>
      <c r="N10" s="22"/>
      <c r="O10" s="22"/>
      <c r="P10" s="31"/>
      <c r="Q10" s="31"/>
      <c r="R10" s="31"/>
      <c r="S10" s="31"/>
      <c r="T10" s="31"/>
      <c r="U10" s="31"/>
      <c r="V10" s="31"/>
      <c r="W10" s="31"/>
      <c r="X10" s="31"/>
      <c r="Y10" s="31"/>
      <c r="Z10" s="31"/>
      <c r="AA10" s="31"/>
      <c r="AB10" s="31"/>
      <c r="AC10" s="31"/>
      <c r="AD10" s="31"/>
      <c r="AE10" s="31"/>
      <c r="AF10" s="31"/>
      <c r="AG10" s="31"/>
      <c r="AH10" s="31"/>
      <c r="AI10" s="31"/>
      <c r="AJ10" s="31"/>
    </row>
    <row r="11" spans="1:36" ht="35.25" customHeight="1">
      <c r="A11" s="167"/>
      <c r="B11" s="275" t="s">
        <v>131</v>
      </c>
      <c r="C11" s="276"/>
      <c r="D11" s="276"/>
      <c r="E11" s="546"/>
      <c r="F11" s="547"/>
      <c r="G11" s="548"/>
      <c r="H11" s="277" t="s">
        <v>132</v>
      </c>
      <c r="I11" s="21"/>
      <c r="J11" s="22"/>
      <c r="K11" s="22"/>
      <c r="L11" s="22"/>
      <c r="M11" s="22"/>
      <c r="N11" s="22"/>
      <c r="O11" s="22"/>
      <c r="P11" s="31"/>
      <c r="Q11" s="31"/>
      <c r="R11" s="31"/>
      <c r="S11" s="31"/>
      <c r="T11" s="31"/>
      <c r="U11" s="31"/>
      <c r="V11" s="31"/>
      <c r="W11" s="31"/>
      <c r="X11" s="31"/>
      <c r="Y11" s="31"/>
      <c r="Z11" s="31"/>
      <c r="AA11" s="31"/>
      <c r="AB11" s="31"/>
      <c r="AC11" s="31"/>
      <c r="AD11" s="31"/>
      <c r="AE11" s="31"/>
      <c r="AF11" s="31"/>
      <c r="AG11" s="31"/>
      <c r="AH11" s="31"/>
      <c r="AI11" s="31"/>
      <c r="AJ11" s="31"/>
    </row>
    <row r="12" spans="1:36" ht="62.5" customHeight="1">
      <c r="A12" s="167"/>
      <c r="B12" s="275" t="s">
        <v>133</v>
      </c>
      <c r="C12" s="278"/>
      <c r="D12" s="278"/>
      <c r="E12" s="557"/>
      <c r="F12" s="558"/>
      <c r="G12" s="559"/>
      <c r="H12" s="277" t="s">
        <v>132</v>
      </c>
      <c r="I12" s="21"/>
      <c r="J12" s="22"/>
      <c r="K12" s="22"/>
      <c r="L12" s="22"/>
      <c r="M12" s="22"/>
      <c r="N12" s="22"/>
      <c r="O12" s="22"/>
      <c r="P12" s="31"/>
      <c r="Q12" s="31"/>
      <c r="R12" s="31"/>
      <c r="S12" s="31"/>
      <c r="T12" s="31"/>
      <c r="U12" s="31"/>
      <c r="V12" s="31"/>
      <c r="W12" s="31"/>
      <c r="X12" s="31"/>
      <c r="Y12" s="31"/>
      <c r="Z12" s="31"/>
      <c r="AA12" s="31"/>
      <c r="AB12" s="31"/>
      <c r="AC12" s="31"/>
      <c r="AD12" s="31"/>
      <c r="AE12" s="31"/>
      <c r="AF12" s="31"/>
      <c r="AG12" s="31"/>
      <c r="AH12" s="31"/>
      <c r="AI12" s="31"/>
      <c r="AJ12" s="31"/>
    </row>
    <row r="13" spans="1:36" ht="128" customHeight="1">
      <c r="A13" s="167"/>
      <c r="B13" s="275" t="s">
        <v>1564</v>
      </c>
      <c r="C13" s="279"/>
      <c r="D13" s="280"/>
      <c r="E13" s="543"/>
      <c r="F13" s="544"/>
      <c r="G13" s="545"/>
      <c r="H13" s="277" t="s">
        <v>132</v>
      </c>
      <c r="I13" s="21"/>
      <c r="J13" s="22"/>
      <c r="K13" s="22"/>
      <c r="L13" s="22"/>
      <c r="M13" s="22"/>
      <c r="N13" s="22"/>
      <c r="O13" s="22"/>
      <c r="P13" s="31"/>
      <c r="Q13" s="31"/>
      <c r="R13" s="31"/>
      <c r="S13" s="31"/>
      <c r="T13" s="31"/>
      <c r="U13" s="31"/>
      <c r="V13" s="31"/>
      <c r="W13" s="31"/>
      <c r="X13" s="31"/>
      <c r="Y13" s="31"/>
      <c r="Z13" s="31"/>
      <c r="AA13" s="31"/>
      <c r="AB13" s="31"/>
      <c r="AC13" s="31"/>
      <c r="AD13" s="31"/>
      <c r="AE13" s="31"/>
      <c r="AF13" s="31"/>
      <c r="AG13" s="31"/>
      <c r="AH13" s="31"/>
      <c r="AI13" s="31"/>
      <c r="AJ13" s="31"/>
    </row>
    <row r="14" spans="1:36" ht="21">
      <c r="A14" s="167"/>
      <c r="B14" s="275" t="s">
        <v>134</v>
      </c>
      <c r="C14" s="279"/>
      <c r="D14" s="279"/>
      <c r="E14" s="546"/>
      <c r="F14" s="547"/>
      <c r="G14" s="548"/>
      <c r="H14" s="277" t="s">
        <v>132</v>
      </c>
      <c r="I14" s="21"/>
      <c r="J14" s="22"/>
      <c r="K14" s="22"/>
      <c r="L14" s="22"/>
      <c r="M14" s="22"/>
      <c r="N14" s="22"/>
      <c r="O14" s="22"/>
      <c r="P14" s="31"/>
      <c r="Q14" s="31"/>
      <c r="R14" s="31"/>
      <c r="S14" s="31"/>
      <c r="T14" s="31"/>
      <c r="U14" s="31"/>
      <c r="V14" s="31"/>
      <c r="W14" s="31"/>
      <c r="X14" s="31"/>
      <c r="Y14" s="31"/>
      <c r="Z14" s="31"/>
      <c r="AA14" s="31"/>
      <c r="AB14" s="31"/>
      <c r="AC14" s="31"/>
      <c r="AD14" s="31"/>
      <c r="AE14" s="31"/>
      <c r="AF14" s="31"/>
      <c r="AG14" s="31"/>
      <c r="AH14" s="31"/>
      <c r="AI14" s="31"/>
      <c r="AJ14" s="31"/>
    </row>
    <row r="15" spans="1:36" ht="123.5" customHeight="1">
      <c r="A15" s="25"/>
      <c r="B15" s="275" t="s">
        <v>1565</v>
      </c>
      <c r="C15" s="278"/>
      <c r="D15" s="280"/>
      <c r="E15" s="543"/>
      <c r="F15" s="544"/>
      <c r="G15" s="545"/>
      <c r="H15" s="277" t="s">
        <v>132</v>
      </c>
      <c r="I15" s="21"/>
      <c r="J15" s="22"/>
      <c r="K15" s="22"/>
      <c r="L15" s="22"/>
      <c r="M15" s="22"/>
      <c r="N15" s="22"/>
      <c r="O15" s="22"/>
      <c r="P15" s="31"/>
      <c r="Q15" s="31"/>
      <c r="R15" s="31"/>
      <c r="S15" s="31"/>
      <c r="T15" s="31"/>
      <c r="U15" s="31"/>
      <c r="V15" s="31"/>
      <c r="W15" s="31"/>
      <c r="X15" s="31"/>
      <c r="Y15" s="31"/>
      <c r="Z15" s="31"/>
      <c r="AA15" s="31"/>
      <c r="AB15" s="31"/>
      <c r="AC15" s="31"/>
      <c r="AD15" s="31"/>
      <c r="AE15" s="31"/>
      <c r="AF15" s="31"/>
      <c r="AG15" s="31"/>
      <c r="AH15" s="31"/>
      <c r="AI15" s="31"/>
      <c r="AJ15" s="31"/>
    </row>
    <row r="16" spans="1:36" ht="44.25" customHeight="1">
      <c r="A16" s="25"/>
      <c r="B16" s="275" t="s">
        <v>135</v>
      </c>
      <c r="C16" s="281" t="s">
        <v>136</v>
      </c>
      <c r="D16" s="282" t="s">
        <v>136</v>
      </c>
      <c r="E16" s="546"/>
      <c r="F16" s="547"/>
      <c r="G16" s="548"/>
      <c r="H16" s="277" t="s">
        <v>132</v>
      </c>
      <c r="I16" s="21"/>
      <c r="J16" s="22"/>
      <c r="K16" s="22"/>
      <c r="L16" s="22"/>
      <c r="M16" s="22"/>
      <c r="N16" s="22"/>
      <c r="O16" s="22"/>
      <c r="P16" s="31"/>
      <c r="Q16" s="31"/>
      <c r="R16" s="31"/>
      <c r="S16" s="31"/>
      <c r="T16" s="31"/>
      <c r="U16" s="31"/>
      <c r="V16" s="31"/>
      <c r="W16" s="31"/>
      <c r="X16" s="31"/>
      <c r="Y16" s="31"/>
      <c r="Z16" s="31"/>
      <c r="AA16" s="31"/>
      <c r="AB16" s="31"/>
      <c r="AC16" s="31"/>
      <c r="AD16" s="31"/>
      <c r="AE16" s="31"/>
      <c r="AF16" s="31"/>
      <c r="AG16" s="31"/>
      <c r="AH16" s="31"/>
      <c r="AI16" s="31"/>
      <c r="AJ16" s="31"/>
    </row>
    <row r="17" spans="1:36" ht="55" customHeight="1">
      <c r="A17" s="25"/>
      <c r="B17" s="283" t="s">
        <v>1566</v>
      </c>
      <c r="C17" s="281" t="s">
        <v>136</v>
      </c>
      <c r="D17" s="282" t="s">
        <v>136</v>
      </c>
      <c r="E17" s="546"/>
      <c r="F17" s="547"/>
      <c r="G17" s="548"/>
      <c r="H17" s="284" t="s">
        <v>132</v>
      </c>
      <c r="I17" s="21"/>
      <c r="J17" s="22"/>
      <c r="K17" s="22"/>
      <c r="L17" s="22"/>
      <c r="M17" s="22"/>
      <c r="N17" s="22"/>
      <c r="O17" s="22"/>
      <c r="P17" s="31"/>
      <c r="Q17" s="31"/>
      <c r="R17" s="31"/>
      <c r="S17" s="31"/>
      <c r="T17" s="31"/>
      <c r="U17" s="31"/>
      <c r="V17" s="31"/>
      <c r="W17" s="31"/>
      <c r="X17" s="31"/>
      <c r="Y17" s="31"/>
      <c r="Z17" s="31"/>
      <c r="AA17" s="31"/>
      <c r="AB17" s="31"/>
      <c r="AC17" s="31"/>
      <c r="AD17" s="31"/>
      <c r="AE17" s="31"/>
      <c r="AF17" s="31"/>
      <c r="AG17" s="31"/>
      <c r="AH17" s="31"/>
      <c r="AI17" s="31"/>
      <c r="AJ17" s="31"/>
    </row>
    <row r="18" spans="1:36" ht="91.5" customHeight="1">
      <c r="A18" s="25"/>
      <c r="B18" s="275" t="s">
        <v>1567</v>
      </c>
      <c r="C18" s="285"/>
      <c r="D18" s="285"/>
      <c r="E18" s="546"/>
      <c r="F18" s="547"/>
      <c r="G18" s="548"/>
      <c r="H18" s="286" t="s">
        <v>137</v>
      </c>
      <c r="I18" s="22"/>
      <c r="J18" s="22"/>
      <c r="K18" s="22"/>
      <c r="L18" s="22"/>
      <c r="M18" s="31"/>
      <c r="N18" s="31"/>
      <c r="O18" s="31"/>
      <c r="P18" s="31"/>
      <c r="Q18" s="31"/>
      <c r="R18" s="31"/>
      <c r="S18" s="31"/>
      <c r="T18" s="31"/>
      <c r="U18" s="31"/>
      <c r="V18" s="31"/>
      <c r="W18" s="31"/>
      <c r="X18" s="31"/>
      <c r="Y18" s="31"/>
      <c r="Z18" s="31"/>
      <c r="AA18" s="31"/>
      <c r="AB18" s="31"/>
      <c r="AC18" s="31"/>
      <c r="AD18" s="31"/>
      <c r="AE18" s="31"/>
      <c r="AF18" s="31"/>
      <c r="AG18" s="31"/>
    </row>
    <row r="19" spans="1:36" ht="35.25" customHeight="1" thickBot="1">
      <c r="A19" s="25"/>
      <c r="B19" s="287" t="s">
        <v>138</v>
      </c>
      <c r="C19" s="288" t="s">
        <v>136</v>
      </c>
      <c r="D19" s="289"/>
      <c r="E19" s="552"/>
      <c r="F19" s="553"/>
      <c r="G19" s="554"/>
      <c r="H19" s="290" t="s">
        <v>132</v>
      </c>
      <c r="I19" s="22"/>
      <c r="J19" s="22"/>
      <c r="K19" s="22"/>
      <c r="L19" s="22"/>
      <c r="M19" s="31"/>
      <c r="N19" s="31"/>
      <c r="O19" s="31"/>
      <c r="P19" s="31"/>
      <c r="Q19" s="31"/>
      <c r="R19" s="31"/>
      <c r="S19" s="31"/>
      <c r="T19" s="31"/>
      <c r="U19" s="31"/>
      <c r="V19" s="31"/>
      <c r="W19" s="31"/>
      <c r="X19" s="31"/>
      <c r="Y19" s="31"/>
      <c r="Z19" s="31"/>
      <c r="AA19" s="31"/>
      <c r="AB19" s="31"/>
      <c r="AC19" s="31"/>
      <c r="AD19" s="31"/>
      <c r="AE19" s="31"/>
      <c r="AF19" s="31"/>
      <c r="AG19" s="31"/>
    </row>
    <row r="20" spans="1:36" ht="25" customHeight="1">
      <c r="A20" s="25"/>
      <c r="B20" s="25"/>
      <c r="C20" s="25"/>
      <c r="D20" s="21"/>
      <c r="E20" s="21"/>
      <c r="F20" s="21"/>
      <c r="G20" s="22"/>
      <c r="H20" s="22"/>
      <c r="I20" s="22"/>
      <c r="J20" s="22"/>
      <c r="K20" s="22"/>
      <c r="L20" s="22"/>
      <c r="M20" s="31"/>
      <c r="N20" s="31"/>
      <c r="O20" s="31"/>
      <c r="P20" s="31"/>
      <c r="Q20" s="31"/>
      <c r="R20" s="31"/>
      <c r="S20" s="31"/>
      <c r="T20" s="31"/>
      <c r="U20" s="31"/>
      <c r="V20" s="31"/>
      <c r="W20" s="31"/>
      <c r="X20" s="31"/>
      <c r="Y20" s="31"/>
      <c r="Z20" s="31"/>
      <c r="AA20" s="31"/>
      <c r="AB20" s="31"/>
      <c r="AC20" s="31"/>
      <c r="AD20" s="31"/>
      <c r="AE20" s="31"/>
      <c r="AF20" s="31"/>
      <c r="AG20" s="31"/>
    </row>
    <row r="21" spans="1:36" ht="25" customHeight="1" thickBot="1">
      <c r="A21" s="138" t="s">
        <v>139</v>
      </c>
      <c r="B21" s="25"/>
      <c r="C21" s="25"/>
      <c r="D21" s="21"/>
      <c r="E21" s="21"/>
      <c r="F21" s="21"/>
      <c r="G21" s="22"/>
      <c r="H21" s="22"/>
      <c r="I21" s="22"/>
      <c r="J21" s="22"/>
      <c r="K21" s="22"/>
      <c r="L21" s="22"/>
      <c r="M21" s="31"/>
      <c r="N21" s="31"/>
      <c r="O21" s="31"/>
      <c r="P21" s="31"/>
      <c r="Q21" s="31"/>
      <c r="R21" s="31"/>
      <c r="S21" s="31"/>
      <c r="T21" s="31"/>
      <c r="U21" s="31"/>
      <c r="V21" s="31"/>
      <c r="W21" s="31"/>
      <c r="X21" s="31"/>
      <c r="Y21" s="31"/>
      <c r="Z21" s="31"/>
      <c r="AA21" s="31"/>
      <c r="AB21" s="31"/>
      <c r="AC21" s="31"/>
      <c r="AD21" s="31"/>
      <c r="AE21" s="31"/>
      <c r="AF21" s="31"/>
      <c r="AG21" s="31"/>
    </row>
    <row r="22" spans="1:36" ht="40" customHeight="1">
      <c r="A22" s="273" t="s">
        <v>7</v>
      </c>
      <c r="B22" s="291" t="s">
        <v>127</v>
      </c>
      <c r="C22" s="291" t="s">
        <v>140</v>
      </c>
      <c r="D22" s="291" t="s">
        <v>141</v>
      </c>
      <c r="E22" s="291" t="s">
        <v>142</v>
      </c>
      <c r="F22" s="292" t="s">
        <v>126</v>
      </c>
      <c r="G22" s="22"/>
      <c r="H22" s="22"/>
      <c r="I22" s="22"/>
      <c r="J22" s="22"/>
      <c r="K22" s="22"/>
      <c r="L22" s="22"/>
      <c r="M22" s="31"/>
      <c r="N22" s="31"/>
      <c r="O22" s="31"/>
      <c r="P22" s="31"/>
      <c r="Q22" s="31"/>
      <c r="R22" s="31"/>
      <c r="S22" s="31"/>
      <c r="T22" s="31"/>
      <c r="U22" s="31"/>
      <c r="V22" s="31"/>
      <c r="W22" s="31"/>
      <c r="X22" s="31"/>
      <c r="Y22" s="31"/>
      <c r="Z22" s="31"/>
      <c r="AA22" s="31"/>
      <c r="AB22" s="31"/>
      <c r="AC22" s="31"/>
      <c r="AD22" s="31"/>
      <c r="AE22" s="31"/>
      <c r="AF22" s="31"/>
      <c r="AG22" s="31"/>
    </row>
    <row r="23" spans="1:36" ht="39" customHeight="1">
      <c r="A23" s="293" t="s">
        <v>143</v>
      </c>
      <c r="B23" s="251" t="s">
        <v>144</v>
      </c>
      <c r="C23" s="279"/>
      <c r="D23" s="310"/>
      <c r="E23" s="294" t="s">
        <v>145</v>
      </c>
      <c r="F23" s="295" t="s">
        <v>132</v>
      </c>
      <c r="G23" s="22"/>
      <c r="H23" s="22"/>
      <c r="I23" s="22"/>
      <c r="J23" s="22"/>
      <c r="K23" s="22"/>
      <c r="L23" s="22"/>
      <c r="M23" s="31"/>
      <c r="N23" s="31"/>
      <c r="O23" s="31"/>
      <c r="P23" s="31"/>
      <c r="Q23" s="31"/>
      <c r="R23" s="31"/>
      <c r="S23" s="31"/>
      <c r="T23" s="31"/>
      <c r="U23" s="31"/>
      <c r="V23" s="31"/>
      <c r="W23" s="31"/>
      <c r="X23" s="31"/>
      <c r="Y23" s="31"/>
      <c r="Z23" s="31"/>
      <c r="AA23" s="31"/>
      <c r="AB23" s="31"/>
      <c r="AC23" s="31"/>
      <c r="AD23" s="31"/>
      <c r="AE23" s="31"/>
      <c r="AF23" s="31"/>
      <c r="AG23" s="31"/>
    </row>
    <row r="24" spans="1:36" ht="37.5" customHeight="1">
      <c r="A24" s="498" t="s">
        <v>146</v>
      </c>
      <c r="B24" s="315" t="s">
        <v>147</v>
      </c>
      <c r="C24" s="312"/>
      <c r="D24" s="353"/>
      <c r="E24" s="296" t="str">
        <f>IF(D24=B72,0.5,IF(D24=C72,0,""))</f>
        <v/>
      </c>
      <c r="F24" s="297" t="s">
        <v>132</v>
      </c>
      <c r="G24" s="22"/>
      <c r="H24" s="22"/>
      <c r="I24" s="22"/>
      <c r="J24" s="22"/>
      <c r="K24" s="22"/>
      <c r="L24" s="22"/>
      <c r="M24" s="31"/>
      <c r="N24" s="31"/>
      <c r="O24" s="31"/>
      <c r="P24" s="31"/>
      <c r="Q24" s="31"/>
      <c r="R24" s="31"/>
      <c r="S24" s="31"/>
      <c r="T24" s="31"/>
      <c r="U24" s="31"/>
      <c r="V24" s="31"/>
      <c r="W24" s="31"/>
      <c r="X24" s="31"/>
      <c r="Y24" s="31"/>
      <c r="Z24" s="31"/>
      <c r="AA24" s="31"/>
      <c r="AB24" s="31"/>
      <c r="AC24" s="31"/>
      <c r="AD24" s="31"/>
      <c r="AE24" s="31"/>
      <c r="AF24" s="31"/>
      <c r="AG24" s="31"/>
    </row>
    <row r="25" spans="1:36" ht="39" customHeight="1" thickBot="1">
      <c r="A25" s="298" t="s">
        <v>148</v>
      </c>
      <c r="B25" s="206" t="s">
        <v>149</v>
      </c>
      <c r="C25" s="313" t="str">
        <f>IFERROR((C12-C15)*C13/C18*(1-0.01*(IF(C11&gt;2030,2030,C11)-C14))/(C11-C14),"")</f>
        <v/>
      </c>
      <c r="D25" s="311"/>
      <c r="E25" s="288" t="str">
        <f>IF(D25=B73,1.5,IF(D25=C73,1,IF(D25=D73,0.5,IF(D25=E73,0,""))))</f>
        <v/>
      </c>
      <c r="F25" s="299" t="s">
        <v>132</v>
      </c>
      <c r="G25" s="22"/>
      <c r="H25" s="22"/>
      <c r="I25" s="22"/>
      <c r="J25" s="22"/>
      <c r="K25" s="22"/>
      <c r="L25" s="31"/>
      <c r="M25" s="31"/>
      <c r="N25" s="31"/>
      <c r="O25" s="31"/>
      <c r="P25" s="31"/>
      <c r="Q25" s="31"/>
      <c r="R25" s="31"/>
      <c r="S25" s="31"/>
      <c r="T25" s="31"/>
      <c r="U25" s="31"/>
      <c r="V25" s="31"/>
      <c r="W25" s="31"/>
      <c r="X25" s="31"/>
      <c r="Y25" s="31"/>
      <c r="Z25" s="31"/>
      <c r="AE25" s="31"/>
      <c r="AF25" s="31"/>
      <c r="AG25" s="31"/>
    </row>
    <row r="26" spans="1:36" ht="25" customHeight="1">
      <c r="A26" s="167"/>
      <c r="B26" s="167"/>
      <c r="C26" s="25"/>
      <c r="D26" s="21"/>
      <c r="E26" s="139"/>
      <c r="F26" s="139"/>
      <c r="G26" s="22"/>
      <c r="H26" s="22"/>
      <c r="I26" s="22"/>
      <c r="J26" s="22"/>
      <c r="K26" s="22"/>
      <c r="L26" s="31"/>
      <c r="M26" s="31"/>
      <c r="N26" s="31"/>
      <c r="O26" s="31"/>
      <c r="P26" s="31"/>
      <c r="Q26" s="31"/>
      <c r="R26" s="31"/>
      <c r="S26" s="31"/>
      <c r="T26" s="31"/>
      <c r="U26" s="31"/>
      <c r="V26" s="31"/>
      <c r="W26" s="31"/>
      <c r="X26" s="31"/>
      <c r="Y26" s="31"/>
      <c r="Z26" s="31"/>
      <c r="AE26" s="31"/>
      <c r="AF26" s="31"/>
      <c r="AG26" s="31"/>
    </row>
    <row r="27" spans="1:36" s="22" customFormat="1" ht="25" customHeight="1" collapsed="1" thickBot="1">
      <c r="A27" s="138" t="s">
        <v>150</v>
      </c>
      <c r="B27" s="139"/>
      <c r="C27" s="21"/>
      <c r="D27" s="21"/>
      <c r="E27" s="139"/>
      <c r="F27" s="139"/>
      <c r="L27" s="31"/>
      <c r="M27" s="31"/>
      <c r="N27" s="31"/>
      <c r="O27" s="31"/>
      <c r="P27" s="31"/>
      <c r="Q27" s="31"/>
      <c r="R27" s="31"/>
      <c r="S27" s="31"/>
      <c r="T27" s="31"/>
      <c r="U27" s="31"/>
      <c r="V27" s="31"/>
      <c r="W27" s="31"/>
      <c r="X27" s="31"/>
      <c r="Y27" s="31"/>
      <c r="Z27" s="31"/>
      <c r="AA27"/>
      <c r="AB27"/>
      <c r="AC27"/>
      <c r="AD27"/>
      <c r="AE27" s="31"/>
      <c r="AF27" s="31"/>
      <c r="AG27" s="31"/>
    </row>
    <row r="28" spans="1:36" ht="40" customHeight="1">
      <c r="A28" s="273" t="s">
        <v>7</v>
      </c>
      <c r="B28" s="291" t="s">
        <v>127</v>
      </c>
      <c r="C28" s="291" t="s">
        <v>140</v>
      </c>
      <c r="D28" s="291" t="s">
        <v>141</v>
      </c>
      <c r="E28" s="291" t="s">
        <v>142</v>
      </c>
      <c r="F28" s="292" t="s">
        <v>126</v>
      </c>
      <c r="G28" s="22"/>
      <c r="H28" s="22"/>
      <c r="I28" s="22"/>
      <c r="J28" s="22"/>
      <c r="K28" s="22"/>
      <c r="L28" s="22"/>
      <c r="M28" s="31"/>
      <c r="N28" s="31"/>
      <c r="O28" s="31"/>
      <c r="P28" s="31"/>
      <c r="Q28" s="31"/>
      <c r="R28" s="31"/>
      <c r="S28" s="31"/>
      <c r="T28" s="31"/>
      <c r="U28" s="31"/>
      <c r="V28" s="31"/>
      <c r="W28" s="31"/>
      <c r="X28" s="31"/>
      <c r="Y28" s="31"/>
      <c r="Z28" s="31"/>
      <c r="AA28" s="31"/>
      <c r="AB28" s="31"/>
      <c r="AC28" s="31"/>
      <c r="AD28" s="31"/>
      <c r="AE28" s="31"/>
      <c r="AF28" s="31"/>
      <c r="AG28" s="31"/>
    </row>
    <row r="29" spans="1:36" ht="41" customHeight="1">
      <c r="A29" s="293" t="s">
        <v>143</v>
      </c>
      <c r="B29" s="309" t="s">
        <v>151</v>
      </c>
      <c r="C29" s="279"/>
      <c r="D29" s="310"/>
      <c r="E29" s="294" t="s">
        <v>145</v>
      </c>
      <c r="F29" s="295" t="s">
        <v>132</v>
      </c>
      <c r="G29" s="22"/>
      <c r="H29" s="22"/>
      <c r="I29" s="22"/>
      <c r="J29" s="22"/>
      <c r="K29" s="22"/>
      <c r="L29" s="31"/>
      <c r="M29" s="31"/>
      <c r="N29" s="31"/>
      <c r="O29" s="31"/>
      <c r="P29" s="31"/>
      <c r="Q29" s="31"/>
      <c r="R29" s="31"/>
      <c r="S29" s="31"/>
      <c r="T29" s="31"/>
      <c r="U29" s="31"/>
      <c r="V29" s="31"/>
      <c r="W29" s="31"/>
      <c r="X29" s="31"/>
      <c r="Y29" s="31"/>
      <c r="Z29" s="31"/>
      <c r="AE29" s="31"/>
      <c r="AF29" s="31"/>
      <c r="AG29" s="31"/>
    </row>
    <row r="30" spans="1:36" ht="47" customHeight="1" thickBot="1">
      <c r="A30" s="298" t="s">
        <v>148</v>
      </c>
      <c r="B30" s="314" t="s">
        <v>152</v>
      </c>
      <c r="C30" s="319" t="str">
        <f>IFERROR((((D15/D18)-((1-D12)*D13)/D19)/(D15/D18))/(D11-D14),"")</f>
        <v/>
      </c>
      <c r="D30" s="311"/>
      <c r="E30" s="288" t="str">
        <f>IF(D30=B76,2,IF(D30=C76,1,IF(D30=D76,0,"")))</f>
        <v/>
      </c>
      <c r="F30" s="299" t="s">
        <v>132</v>
      </c>
      <c r="G30" s="22"/>
      <c r="H30" s="22"/>
      <c r="I30" s="31"/>
      <c r="J30" s="31"/>
      <c r="K30" s="31"/>
      <c r="L30" s="31"/>
      <c r="M30" s="31"/>
      <c r="N30" s="31"/>
      <c r="O30" s="31"/>
      <c r="P30" s="31"/>
      <c r="Q30" s="31"/>
      <c r="R30" s="31"/>
      <c r="S30" s="31"/>
      <c r="T30" s="31"/>
      <c r="U30" s="31"/>
      <c r="V30" s="31"/>
      <c r="W30" s="31"/>
      <c r="X30" s="31"/>
      <c r="Y30" s="31"/>
      <c r="Z30" s="31"/>
      <c r="AE30" s="31"/>
      <c r="AF30" s="31"/>
      <c r="AG30" s="31"/>
    </row>
    <row r="31" spans="1:36" ht="25" customHeight="1">
      <c r="A31" s="144"/>
      <c r="B31" s="144"/>
      <c r="C31" s="22"/>
      <c r="D31" s="22"/>
      <c r="E31" s="144"/>
      <c r="F31" s="144"/>
      <c r="G31" s="22"/>
      <c r="H31" s="22"/>
      <c r="I31" s="31"/>
      <c r="J31" s="31"/>
      <c r="K31" s="31"/>
      <c r="L31" s="31"/>
      <c r="M31" s="31"/>
      <c r="N31" s="31"/>
      <c r="O31" s="31"/>
      <c r="P31" s="31"/>
      <c r="Q31" s="31"/>
      <c r="R31" s="31"/>
      <c r="S31" s="31"/>
      <c r="T31" s="31"/>
      <c r="U31" s="31"/>
      <c r="V31" s="31"/>
      <c r="W31" s="31"/>
      <c r="X31" s="31"/>
      <c r="Y31" s="31"/>
      <c r="Z31" s="31"/>
      <c r="AA31" s="22"/>
      <c r="AB31" s="22"/>
      <c r="AC31" s="22"/>
      <c r="AD31" s="22"/>
      <c r="AE31" s="31"/>
      <c r="AF31" s="31"/>
      <c r="AG31" s="31"/>
    </row>
    <row r="32" spans="1:36" ht="25" customHeight="1" thickBot="1">
      <c r="A32" s="138" t="s">
        <v>153</v>
      </c>
      <c r="B32" s="144"/>
      <c r="C32" s="22"/>
      <c r="D32" s="22"/>
      <c r="E32" s="144"/>
      <c r="F32" s="144"/>
      <c r="H32" s="22"/>
      <c r="I32" s="31"/>
      <c r="J32" s="31"/>
      <c r="K32" s="31"/>
      <c r="L32" s="31"/>
      <c r="M32" s="31"/>
      <c r="N32" s="31"/>
      <c r="O32" s="31"/>
      <c r="P32" s="31"/>
      <c r="Q32" s="31"/>
      <c r="R32" s="31"/>
      <c r="S32" s="31"/>
      <c r="T32" s="31"/>
      <c r="U32" s="31"/>
      <c r="V32" s="31"/>
      <c r="W32" s="31"/>
      <c r="X32" s="31"/>
      <c r="Y32" s="31"/>
      <c r="Z32" s="31"/>
      <c r="AE32" s="31"/>
      <c r="AF32" s="31"/>
      <c r="AG32" s="31"/>
    </row>
    <row r="33" spans="1:33" ht="40" customHeight="1">
      <c r="A33" s="273" t="s">
        <v>7</v>
      </c>
      <c r="B33" s="291" t="s">
        <v>127</v>
      </c>
      <c r="C33" s="291" t="s">
        <v>140</v>
      </c>
      <c r="D33" s="291" t="s">
        <v>141</v>
      </c>
      <c r="E33" s="291" t="s">
        <v>142</v>
      </c>
      <c r="F33" s="292" t="s">
        <v>126</v>
      </c>
      <c r="G33" s="22"/>
      <c r="H33" s="22"/>
      <c r="I33" s="22"/>
      <c r="J33" s="22"/>
      <c r="K33" s="22"/>
      <c r="L33" s="22"/>
      <c r="M33" s="31"/>
      <c r="N33" s="31"/>
      <c r="O33" s="31"/>
      <c r="P33" s="31"/>
      <c r="Q33" s="31"/>
      <c r="R33" s="31"/>
      <c r="S33" s="31"/>
      <c r="T33" s="31"/>
      <c r="U33" s="31"/>
      <c r="V33" s="31"/>
      <c r="W33" s="31"/>
      <c r="X33" s="31"/>
      <c r="Y33" s="31"/>
      <c r="Z33" s="31"/>
      <c r="AA33" s="31"/>
      <c r="AB33" s="31"/>
      <c r="AC33" s="31"/>
      <c r="AD33" s="31"/>
      <c r="AE33" s="31"/>
      <c r="AF33" s="31"/>
      <c r="AG33" s="31"/>
    </row>
    <row r="34" spans="1:33" ht="41" customHeight="1">
      <c r="A34" s="293" t="s">
        <v>143</v>
      </c>
      <c r="B34" s="309" t="s">
        <v>154</v>
      </c>
      <c r="C34" s="279"/>
      <c r="D34" s="310"/>
      <c r="E34" s="294" t="s">
        <v>145</v>
      </c>
      <c r="F34" s="295" t="s">
        <v>132</v>
      </c>
      <c r="G34" s="31"/>
      <c r="H34" s="31"/>
      <c r="I34" s="31"/>
      <c r="J34" s="31"/>
      <c r="K34" s="31"/>
      <c r="L34" s="31"/>
      <c r="M34" s="31"/>
      <c r="N34" s="31"/>
      <c r="O34" s="31"/>
      <c r="P34" s="31"/>
      <c r="Q34" s="31"/>
      <c r="R34" s="31"/>
      <c r="S34" s="31"/>
      <c r="T34" s="31"/>
      <c r="U34" s="31"/>
      <c r="V34" s="31"/>
      <c r="W34" s="31"/>
      <c r="X34" s="31"/>
      <c r="Y34" s="31"/>
      <c r="Z34" s="31"/>
      <c r="AE34" s="31"/>
      <c r="AF34" s="31"/>
      <c r="AG34" s="31"/>
    </row>
    <row r="35" spans="1:33" ht="43" customHeight="1">
      <c r="A35" s="293" t="s">
        <v>148</v>
      </c>
      <c r="B35" s="205" t="s">
        <v>155</v>
      </c>
      <c r="C35" s="320" t="str">
        <f>IFERROR((((E15/E18)-((1-E12)*E13)/E19)/(E15/E18))/(E11-E14),"")</f>
        <v/>
      </c>
      <c r="D35" s="333"/>
      <c r="E35" s="281" t="str">
        <f>IF(D35=B79,2,IF(D35=C79,1,IF(D35=D79,0,"")))</f>
        <v/>
      </c>
      <c r="F35" s="295" t="s">
        <v>132</v>
      </c>
      <c r="G35" s="31"/>
      <c r="H35" s="115"/>
      <c r="I35" s="31"/>
      <c r="J35" s="31"/>
      <c r="K35" s="31"/>
      <c r="L35" s="31"/>
      <c r="M35" s="31"/>
      <c r="N35" s="31"/>
      <c r="O35" s="31"/>
      <c r="P35" s="31"/>
      <c r="Q35" s="31"/>
      <c r="R35" s="31"/>
      <c r="S35" s="31"/>
      <c r="T35" s="31"/>
      <c r="U35" s="31"/>
      <c r="V35" s="31"/>
      <c r="W35" s="31"/>
      <c r="X35" s="31"/>
      <c r="Y35" s="31"/>
      <c r="Z35" s="31"/>
      <c r="AE35" s="31"/>
      <c r="AF35" s="31"/>
      <c r="AG35" s="31"/>
    </row>
    <row r="36" spans="1:33" ht="45.75" customHeight="1" thickBot="1">
      <c r="A36" s="293" t="s">
        <v>156</v>
      </c>
      <c r="B36" s="205" t="s">
        <v>157</v>
      </c>
      <c r="C36" s="319" t="str">
        <f ca="1">IFERROR(('Hidden Sheet'!G38*(E11-E14))/(C35*(E11-E14)),"")</f>
        <v/>
      </c>
      <c r="D36" s="354"/>
      <c r="E36" s="301" t="str">
        <f>IF(D36=B80,2,IF(D36=C80,1,IF(D36=D80,0,"")))</f>
        <v/>
      </c>
      <c r="F36" s="299" t="s">
        <v>132</v>
      </c>
      <c r="G36" s="31"/>
      <c r="H36" s="31"/>
      <c r="I36" s="31"/>
      <c r="J36" s="31"/>
      <c r="K36" s="31"/>
      <c r="L36" s="31"/>
      <c r="M36" s="31"/>
      <c r="N36" s="31"/>
      <c r="O36" s="31"/>
      <c r="P36" s="31"/>
      <c r="Q36" s="31"/>
      <c r="R36" s="31"/>
      <c r="S36" s="31"/>
      <c r="T36" s="31"/>
      <c r="U36" s="31"/>
      <c r="V36" s="31"/>
      <c r="W36" s="31"/>
      <c r="X36" s="31"/>
      <c r="Y36" s="31"/>
      <c r="Z36" s="31"/>
      <c r="AE36" s="31"/>
      <c r="AF36" s="31"/>
      <c r="AG36" s="31"/>
    </row>
    <row r="37" spans="1:33" ht="25" customHeight="1">
      <c r="A37" s="163"/>
      <c r="B37" s="163"/>
      <c r="C37" s="22"/>
      <c r="D37" s="22"/>
      <c r="E37" s="144"/>
      <c r="F37" s="144"/>
      <c r="G37" s="31"/>
      <c r="H37" s="31"/>
      <c r="I37" s="31"/>
      <c r="J37" s="31"/>
      <c r="K37" s="31"/>
      <c r="L37" s="31"/>
      <c r="M37" s="31"/>
      <c r="N37" s="31"/>
      <c r="O37" s="31"/>
      <c r="P37" s="31"/>
      <c r="Q37" s="31"/>
      <c r="R37" s="31"/>
      <c r="S37" s="31"/>
      <c r="T37" s="31"/>
      <c r="U37" s="31"/>
      <c r="V37" s="31"/>
      <c r="W37" s="31"/>
      <c r="X37" s="31"/>
      <c r="Y37" s="31"/>
      <c r="Z37" s="31"/>
    </row>
    <row r="38" spans="1:33" ht="25" customHeight="1" thickBot="1">
      <c r="A38" s="138" t="s">
        <v>122</v>
      </c>
      <c r="B38" s="139"/>
      <c r="C38" s="21"/>
      <c r="D38" s="21"/>
      <c r="E38" s="139"/>
      <c r="F38" s="139"/>
      <c r="G38" s="31"/>
      <c r="H38" s="31"/>
      <c r="I38" s="31"/>
      <c r="J38" s="31"/>
      <c r="K38" s="31"/>
      <c r="L38" s="31"/>
      <c r="M38" s="31"/>
      <c r="N38" s="31"/>
      <c r="O38" s="31"/>
      <c r="P38" s="31"/>
      <c r="Q38" s="31"/>
      <c r="R38" s="31"/>
      <c r="S38" s="31"/>
      <c r="T38" s="31"/>
      <c r="U38" s="31"/>
      <c r="V38" s="31"/>
      <c r="W38" s="31"/>
      <c r="X38" s="31"/>
    </row>
    <row r="39" spans="1:33" ht="40" customHeight="1">
      <c r="A39" s="273" t="s">
        <v>7</v>
      </c>
      <c r="B39" s="291" t="s">
        <v>127</v>
      </c>
      <c r="C39" s="291" t="s">
        <v>140</v>
      </c>
      <c r="D39" s="291" t="s">
        <v>141</v>
      </c>
      <c r="E39" s="291" t="s">
        <v>142</v>
      </c>
      <c r="F39" s="292" t="s">
        <v>126</v>
      </c>
      <c r="G39" s="22"/>
      <c r="H39" s="22"/>
      <c r="I39" s="22"/>
      <c r="J39" s="22"/>
      <c r="K39" s="22"/>
      <c r="L39" s="22"/>
      <c r="M39" s="31"/>
      <c r="N39" s="31"/>
      <c r="O39" s="31"/>
      <c r="P39" s="31"/>
      <c r="Q39" s="31"/>
      <c r="R39" s="31"/>
      <c r="S39" s="31"/>
      <c r="T39" s="31"/>
      <c r="U39" s="31"/>
      <c r="V39" s="31"/>
      <c r="W39" s="31"/>
      <c r="X39" s="31"/>
      <c r="Y39" s="31"/>
      <c r="Z39" s="31"/>
      <c r="AA39" s="31"/>
      <c r="AB39" s="31"/>
      <c r="AC39" s="31"/>
      <c r="AD39" s="31"/>
      <c r="AE39" s="31"/>
      <c r="AF39" s="31"/>
      <c r="AG39" s="31"/>
    </row>
    <row r="40" spans="1:33" ht="133" customHeight="1">
      <c r="A40" s="538" t="s">
        <v>158</v>
      </c>
      <c r="B40" s="309" t="s">
        <v>1578</v>
      </c>
      <c r="C40" s="312"/>
      <c r="D40" s="364"/>
      <c r="E40" s="296" t="str">
        <f t="shared" ref="E40:E45" si="0">IF(D40=B82,0.5,IF(D40=C82,0,""))</f>
        <v/>
      </c>
      <c r="F40" s="295" t="s">
        <v>132</v>
      </c>
      <c r="G40" s="31"/>
      <c r="H40" s="31"/>
      <c r="I40" s="31"/>
      <c r="J40" s="31"/>
      <c r="K40" s="31"/>
      <c r="L40" s="31"/>
      <c r="M40" s="31"/>
      <c r="N40" s="31"/>
      <c r="O40" s="31"/>
      <c r="P40" s="31"/>
      <c r="Q40" s="31"/>
      <c r="R40" s="31"/>
      <c r="S40" s="31"/>
      <c r="T40" s="31"/>
      <c r="U40" s="31"/>
      <c r="V40" s="31"/>
      <c r="W40" s="31"/>
      <c r="X40" s="31"/>
    </row>
    <row r="41" spans="1:33" s="22" customFormat="1" ht="169" customHeight="1" collapsed="1">
      <c r="A41" s="539"/>
      <c r="B41" s="309" t="s">
        <v>1568</v>
      </c>
      <c r="C41" s="312"/>
      <c r="D41" s="491"/>
      <c r="E41" s="294" t="str">
        <f t="shared" si="0"/>
        <v/>
      </c>
      <c r="F41" s="295" t="s">
        <v>132</v>
      </c>
      <c r="G41" s="31"/>
      <c r="H41" s="31"/>
      <c r="I41" s="31"/>
      <c r="J41" s="31"/>
      <c r="K41" s="31"/>
      <c r="L41" s="31"/>
      <c r="M41" s="31"/>
      <c r="N41" s="31"/>
      <c r="O41" s="31"/>
      <c r="P41" s="31"/>
      <c r="Q41" s="31"/>
      <c r="R41" s="31"/>
      <c r="S41" s="31"/>
      <c r="T41" s="31"/>
      <c r="U41" s="31"/>
      <c r="V41" s="31"/>
      <c r="W41" s="31"/>
      <c r="X41" s="31"/>
      <c r="Y41"/>
      <c r="Z41"/>
      <c r="AA41"/>
      <c r="AB41"/>
      <c r="AC41"/>
      <c r="AD41"/>
    </row>
    <row r="42" spans="1:33" s="22" customFormat="1" ht="134.25" customHeight="1">
      <c r="A42" s="538" t="s">
        <v>159</v>
      </c>
      <c r="B42" s="316" t="s">
        <v>160</v>
      </c>
      <c r="C42" s="312"/>
      <c r="D42" s="364"/>
      <c r="E42" s="302" t="str">
        <f t="shared" si="0"/>
        <v/>
      </c>
      <c r="F42" s="295" t="s">
        <v>132</v>
      </c>
      <c r="G42" s="31"/>
      <c r="H42" s="31"/>
      <c r="I42" s="31"/>
      <c r="J42" s="31"/>
      <c r="K42" s="31"/>
      <c r="L42" s="31"/>
      <c r="M42" s="31"/>
      <c r="N42" s="31"/>
      <c r="O42" s="31"/>
      <c r="P42" s="31"/>
      <c r="Q42" s="31"/>
      <c r="R42" s="31"/>
      <c r="S42" s="31"/>
      <c r="T42" s="31"/>
      <c r="U42" s="31"/>
      <c r="V42" s="31"/>
      <c r="W42" s="31"/>
      <c r="X42" s="31"/>
      <c r="Y42"/>
      <c r="Z42"/>
      <c r="AA42"/>
      <c r="AB42"/>
      <c r="AC42"/>
      <c r="AD42"/>
    </row>
    <row r="43" spans="1:33" s="22" customFormat="1" ht="166" customHeight="1">
      <c r="A43" s="540"/>
      <c r="B43" s="309" t="s">
        <v>1568</v>
      </c>
      <c r="C43" s="322"/>
      <c r="D43" s="491"/>
      <c r="E43" s="294" t="str">
        <f t="shared" si="0"/>
        <v/>
      </c>
      <c r="F43" s="303" t="s">
        <v>132</v>
      </c>
      <c r="G43" s="31"/>
      <c r="H43" s="31"/>
      <c r="I43" s="31"/>
      <c r="J43" s="31"/>
      <c r="K43" s="31"/>
      <c r="L43" s="31"/>
      <c r="M43" s="31"/>
      <c r="N43" s="31"/>
      <c r="O43" s="31"/>
      <c r="P43" s="31"/>
      <c r="Q43" s="31"/>
      <c r="R43" s="31"/>
      <c r="S43" s="31"/>
      <c r="T43" s="31"/>
      <c r="U43" s="31"/>
      <c r="V43" s="31"/>
      <c r="W43" s="31"/>
      <c r="X43" s="31"/>
      <c r="Y43"/>
      <c r="Z43"/>
      <c r="AA43"/>
      <c r="AB43"/>
      <c r="AC43"/>
      <c r="AD43"/>
    </row>
    <row r="44" spans="1:33" s="22" customFormat="1" ht="72" customHeight="1">
      <c r="A44" s="538" t="s">
        <v>161</v>
      </c>
      <c r="B44" s="317" t="s">
        <v>162</v>
      </c>
      <c r="C44" s="279"/>
      <c r="D44" s="363"/>
      <c r="E44" s="304" t="str">
        <f t="shared" si="0"/>
        <v/>
      </c>
      <c r="F44" s="295" t="s">
        <v>132</v>
      </c>
      <c r="G44" s="31"/>
      <c r="H44" s="31"/>
      <c r="I44" s="31"/>
      <c r="J44" s="31"/>
      <c r="K44" s="31"/>
      <c r="L44" s="31"/>
      <c r="M44" s="31"/>
      <c r="N44" s="31"/>
      <c r="O44" s="31"/>
      <c r="P44" s="31"/>
      <c r="Q44" s="31"/>
      <c r="R44" s="31"/>
      <c r="S44" s="31"/>
      <c r="T44" s="31"/>
      <c r="U44" s="31"/>
      <c r="V44" s="31"/>
      <c r="W44" s="31"/>
      <c r="X44" s="31"/>
      <c r="Y44"/>
      <c r="Z44"/>
      <c r="AA44"/>
      <c r="AB44"/>
      <c r="AC44"/>
      <c r="AD44"/>
    </row>
    <row r="45" spans="1:33" s="22" customFormat="1" ht="166.5" customHeight="1" thickBot="1">
      <c r="A45" s="539"/>
      <c r="B45" s="318" t="s">
        <v>1569</v>
      </c>
      <c r="C45" s="321"/>
      <c r="D45" s="365"/>
      <c r="E45" s="306" t="str">
        <f t="shared" si="0"/>
        <v/>
      </c>
      <c r="F45" s="295" t="s">
        <v>132</v>
      </c>
      <c r="G45" s="31"/>
      <c r="H45" s="31"/>
      <c r="I45" s="31"/>
      <c r="J45" s="31"/>
      <c r="K45" s="31"/>
      <c r="L45" s="31"/>
      <c r="M45" s="31"/>
      <c r="N45" s="31"/>
      <c r="O45" s="31"/>
      <c r="P45" s="31"/>
      <c r="Q45" s="31"/>
      <c r="R45" s="31"/>
      <c r="S45" s="31"/>
      <c r="T45" s="31"/>
      <c r="U45" s="31"/>
      <c r="V45" s="31"/>
      <c r="W45" s="31"/>
      <c r="X45" s="31"/>
      <c r="Y45"/>
      <c r="Z45"/>
      <c r="AA45"/>
      <c r="AB45"/>
      <c r="AC45"/>
      <c r="AD45"/>
    </row>
    <row r="46" spans="1:33" ht="25" customHeight="1">
      <c r="A46" s="144"/>
      <c r="B46" s="144"/>
      <c r="C46" s="22"/>
      <c r="D46" s="22"/>
      <c r="E46" s="144"/>
      <c r="F46" s="144"/>
      <c r="G46" s="22"/>
      <c r="H46" s="22"/>
      <c r="I46" s="31"/>
      <c r="J46" s="31"/>
      <c r="K46" s="31"/>
      <c r="L46" s="31"/>
      <c r="M46" s="31"/>
      <c r="N46" s="31"/>
      <c r="O46" s="31"/>
      <c r="P46" s="31"/>
      <c r="Q46" s="31"/>
      <c r="R46" s="31"/>
      <c r="S46" s="31"/>
      <c r="T46" s="31"/>
      <c r="U46" s="31"/>
      <c r="V46" s="31"/>
      <c r="W46" s="31"/>
      <c r="X46" s="31"/>
      <c r="Y46" s="31"/>
      <c r="Z46" s="31"/>
      <c r="AA46" s="31"/>
    </row>
    <row r="47" spans="1:33" ht="25" customHeight="1" thickBot="1">
      <c r="A47" s="138" t="s">
        <v>123</v>
      </c>
      <c r="B47" s="144"/>
      <c r="C47" s="22"/>
      <c r="D47" s="22"/>
      <c r="E47" s="144"/>
      <c r="F47" s="144"/>
      <c r="G47" s="22"/>
      <c r="H47" s="22"/>
      <c r="I47" s="31"/>
      <c r="J47" s="31"/>
      <c r="K47" s="31"/>
      <c r="L47" s="31"/>
      <c r="M47" s="31"/>
      <c r="N47" s="31"/>
      <c r="O47" s="31"/>
      <c r="P47" s="31"/>
      <c r="Q47" s="31"/>
      <c r="R47" s="31"/>
      <c r="S47" s="31"/>
      <c r="T47" s="31"/>
      <c r="U47" s="31"/>
      <c r="V47" s="31"/>
      <c r="W47" s="31"/>
      <c r="X47" s="31"/>
      <c r="Y47" s="31"/>
      <c r="Z47" s="31"/>
      <c r="AA47" s="31"/>
    </row>
    <row r="48" spans="1:33" ht="40" customHeight="1">
      <c r="A48" s="273" t="s">
        <v>7</v>
      </c>
      <c r="B48" s="291" t="s">
        <v>127</v>
      </c>
      <c r="C48" s="291" t="s">
        <v>140</v>
      </c>
      <c r="D48" s="291" t="s">
        <v>141</v>
      </c>
      <c r="E48" s="291" t="s">
        <v>142</v>
      </c>
      <c r="F48" s="292" t="s">
        <v>126</v>
      </c>
      <c r="G48" s="22"/>
      <c r="H48" s="22"/>
      <c r="I48" s="22"/>
      <c r="J48" s="22"/>
      <c r="K48" s="22"/>
      <c r="L48" s="22"/>
      <c r="M48" s="31"/>
      <c r="N48" s="31"/>
      <c r="O48" s="31"/>
      <c r="P48" s="31"/>
      <c r="Q48" s="31"/>
      <c r="R48" s="31"/>
      <c r="S48" s="31"/>
      <c r="T48" s="31"/>
      <c r="U48" s="31"/>
      <c r="V48" s="31"/>
      <c r="W48" s="31"/>
      <c r="X48" s="31"/>
      <c r="Y48" s="31"/>
      <c r="Z48" s="31"/>
      <c r="AA48" s="31"/>
      <c r="AB48" s="31"/>
      <c r="AC48" s="31"/>
      <c r="AD48" s="31"/>
      <c r="AE48" s="31"/>
      <c r="AF48" s="31"/>
      <c r="AG48" s="31"/>
    </row>
    <row r="49" spans="1:33" ht="102.75" customHeight="1">
      <c r="A49" s="293" t="s">
        <v>19</v>
      </c>
      <c r="B49" s="309" t="s">
        <v>163</v>
      </c>
      <c r="C49" s="279"/>
      <c r="D49" s="310"/>
      <c r="E49" s="294" t="str">
        <f>IF(D49=B89,0.5,IF(D49=C89,0,""))</f>
        <v/>
      </c>
      <c r="F49" s="295" t="s">
        <v>132</v>
      </c>
      <c r="G49" s="22"/>
      <c r="H49" s="22"/>
      <c r="I49" s="31"/>
      <c r="J49" s="31"/>
      <c r="K49" s="31"/>
      <c r="L49" s="31"/>
      <c r="M49" s="31"/>
      <c r="N49" s="31"/>
      <c r="O49" s="31"/>
      <c r="P49" s="31"/>
      <c r="Q49" s="31"/>
      <c r="R49" s="31"/>
      <c r="S49" s="31"/>
      <c r="T49" s="31"/>
      <c r="U49" s="31"/>
      <c r="V49" s="31"/>
      <c r="W49" s="31"/>
      <c r="X49" s="31"/>
      <c r="Y49" s="31"/>
      <c r="Z49" s="31"/>
      <c r="AA49" s="31"/>
    </row>
    <row r="50" spans="1:33" ht="140.5" customHeight="1">
      <c r="A50" s="293" t="s">
        <v>164</v>
      </c>
      <c r="B50" s="205" t="s">
        <v>165</v>
      </c>
      <c r="C50" s="323"/>
      <c r="D50" s="333"/>
      <c r="E50" s="281" t="str">
        <f>IF(D50=B90,1,IF(D50=C90,0.5,IF(D50=D90,0,"")))</f>
        <v/>
      </c>
      <c r="F50" s="295" t="s">
        <v>132</v>
      </c>
      <c r="G50" s="22"/>
      <c r="H50" s="22"/>
      <c r="I50" s="31"/>
      <c r="J50" s="31"/>
      <c r="K50" s="31"/>
      <c r="L50" s="31"/>
      <c r="M50" s="31"/>
      <c r="N50" s="31"/>
      <c r="O50" s="31"/>
      <c r="P50" s="31"/>
      <c r="Q50" s="31"/>
      <c r="R50" s="31"/>
      <c r="S50" s="31"/>
      <c r="T50" s="31"/>
      <c r="U50" s="31"/>
      <c r="V50" s="31"/>
      <c r="W50" s="31"/>
      <c r="X50" s="31"/>
      <c r="Y50" s="31"/>
      <c r="Z50" s="31"/>
      <c r="AA50" s="31"/>
      <c r="AB50" s="22"/>
      <c r="AC50" s="22"/>
      <c r="AD50" s="22"/>
    </row>
    <row r="51" spans="1:33" ht="90" customHeight="1" thickBot="1">
      <c r="A51" s="293" t="s">
        <v>166</v>
      </c>
      <c r="B51" s="314" t="s">
        <v>167</v>
      </c>
      <c r="C51" s="324"/>
      <c r="D51" s="354"/>
      <c r="E51" s="301" t="str">
        <f>IF(D51=B91,1,IF(D51=C91,0.5,IF(D51=D91,0,"")))</f>
        <v/>
      </c>
      <c r="F51" s="299" t="s">
        <v>132</v>
      </c>
      <c r="G51" s="22"/>
      <c r="H51" s="22"/>
      <c r="I51" s="31"/>
      <c r="J51" s="31"/>
      <c r="K51" s="31"/>
      <c r="L51" s="31"/>
      <c r="M51" s="31"/>
      <c r="N51" s="31"/>
      <c r="O51" s="31"/>
      <c r="P51" s="31"/>
      <c r="Q51" s="31"/>
      <c r="R51" s="31"/>
      <c r="S51" s="31"/>
      <c r="T51" s="31"/>
      <c r="U51" s="31"/>
      <c r="V51" s="31"/>
      <c r="W51" s="31"/>
      <c r="X51" s="31"/>
      <c r="Y51" s="31"/>
      <c r="Z51" s="31"/>
      <c r="AA51" s="31"/>
      <c r="AB51" s="22"/>
      <c r="AC51" s="22"/>
      <c r="AD51" s="22"/>
    </row>
    <row r="52" spans="1:33" ht="25" customHeight="1">
      <c r="A52" s="144"/>
      <c r="B52" s="144"/>
      <c r="C52" s="22"/>
      <c r="D52" s="22"/>
      <c r="E52" s="144"/>
      <c r="F52" s="144"/>
      <c r="G52" s="22"/>
      <c r="H52" s="22"/>
      <c r="I52" s="31"/>
      <c r="J52" s="31"/>
      <c r="K52" s="31"/>
      <c r="L52" s="31"/>
      <c r="M52" s="31"/>
      <c r="N52" s="31"/>
      <c r="O52" s="31"/>
      <c r="P52" s="31"/>
      <c r="Q52" s="31"/>
      <c r="R52" s="31"/>
      <c r="S52" s="31"/>
      <c r="T52" s="31"/>
      <c r="U52" s="31"/>
      <c r="V52" s="31"/>
      <c r="W52" s="31"/>
      <c r="X52" s="31"/>
      <c r="Y52" s="31"/>
      <c r="Z52" s="31"/>
      <c r="AA52" s="31"/>
      <c r="AB52" s="22"/>
      <c r="AC52" s="22"/>
      <c r="AD52" s="22"/>
    </row>
    <row r="53" spans="1:33" ht="25" customHeight="1" thickBot="1">
      <c r="A53" s="138" t="s">
        <v>124</v>
      </c>
      <c r="B53" s="139"/>
      <c r="C53" s="21"/>
      <c r="D53" s="21"/>
      <c r="E53" s="139"/>
      <c r="F53" s="139"/>
      <c r="G53" s="31"/>
      <c r="H53" s="31"/>
      <c r="I53" s="31"/>
      <c r="J53" s="31"/>
      <c r="K53" s="31"/>
      <c r="L53" s="31"/>
      <c r="M53" s="31"/>
      <c r="N53" s="31"/>
      <c r="O53" s="31"/>
      <c r="P53" s="31"/>
      <c r="Q53" s="31"/>
      <c r="R53" s="31"/>
      <c r="S53" s="31"/>
      <c r="T53" s="31"/>
      <c r="U53" s="31"/>
      <c r="V53" s="31"/>
      <c r="W53" s="31"/>
      <c r="X53" s="31"/>
      <c r="Y53" s="31"/>
      <c r="Z53" s="31"/>
      <c r="AA53" s="31"/>
      <c r="AB53" s="22"/>
      <c r="AC53" s="22"/>
      <c r="AD53" s="22"/>
    </row>
    <row r="54" spans="1:33" ht="40" customHeight="1">
      <c r="A54" s="273" t="s">
        <v>7</v>
      </c>
      <c r="B54" s="291" t="s">
        <v>127</v>
      </c>
      <c r="C54" s="291" t="s">
        <v>140</v>
      </c>
      <c r="D54" s="291" t="s">
        <v>141</v>
      </c>
      <c r="E54" s="291" t="s">
        <v>142</v>
      </c>
      <c r="F54" s="292" t="s">
        <v>126</v>
      </c>
      <c r="G54" s="22"/>
      <c r="H54" s="22"/>
      <c r="I54" s="22"/>
      <c r="J54" s="22"/>
      <c r="K54" s="22"/>
      <c r="L54" s="22"/>
      <c r="M54" s="31"/>
      <c r="N54" s="31"/>
      <c r="O54" s="31"/>
      <c r="P54" s="31"/>
      <c r="Q54" s="31"/>
      <c r="R54" s="31"/>
      <c r="S54" s="31"/>
      <c r="T54" s="31"/>
      <c r="U54" s="31"/>
      <c r="V54" s="31"/>
      <c r="W54" s="31"/>
      <c r="X54" s="31"/>
      <c r="Y54" s="31"/>
      <c r="Z54" s="31"/>
      <c r="AA54" s="31"/>
      <c r="AB54" s="31"/>
      <c r="AC54" s="31"/>
      <c r="AD54" s="31"/>
      <c r="AE54" s="31"/>
      <c r="AF54" s="31"/>
      <c r="AG54" s="31"/>
    </row>
    <row r="55" spans="1:33" ht="72" customHeight="1">
      <c r="A55" s="307" t="s">
        <v>168</v>
      </c>
      <c r="B55" s="309" t="s">
        <v>169</v>
      </c>
      <c r="C55" s="300"/>
      <c r="D55" s="310"/>
      <c r="E55" s="294" t="str">
        <f>IF(D55=B97,0.5,IF(D55=C97,0,""))</f>
        <v/>
      </c>
      <c r="F55" s="295" t="s">
        <v>132</v>
      </c>
      <c r="G55" s="31"/>
      <c r="H55" s="31"/>
      <c r="I55" s="31"/>
      <c r="J55" s="31"/>
      <c r="K55" s="31"/>
      <c r="L55" s="31"/>
      <c r="M55" s="31"/>
      <c r="N55" s="31"/>
      <c r="O55" s="31"/>
      <c r="P55" s="31"/>
      <c r="Q55" s="31"/>
      <c r="R55" s="31"/>
      <c r="S55" s="31"/>
      <c r="T55" s="31"/>
      <c r="U55" s="31"/>
      <c r="V55" s="31"/>
      <c r="W55" s="31"/>
      <c r="X55" s="31"/>
      <c r="Y55" s="31"/>
      <c r="Z55" s="31"/>
      <c r="AA55" s="31"/>
      <c r="AB55" s="22"/>
      <c r="AC55" s="22"/>
      <c r="AD55" s="22"/>
    </row>
    <row r="56" spans="1:33" ht="245.25" customHeight="1" collapsed="1" thickBot="1">
      <c r="A56" s="298" t="s">
        <v>170</v>
      </c>
      <c r="B56" s="314" t="s">
        <v>171</v>
      </c>
      <c r="C56" s="305"/>
      <c r="D56" s="365"/>
      <c r="E56" s="301" t="str">
        <f>IF(D56=B96,1,IF(D56=C96,0.5,IF(D56=D96,0,"")))</f>
        <v/>
      </c>
      <c r="F56" s="299" t="s">
        <v>132</v>
      </c>
      <c r="G56" s="31"/>
      <c r="H56" s="31"/>
      <c r="I56" s="31"/>
      <c r="J56" s="31"/>
      <c r="K56" s="31"/>
      <c r="L56" s="31"/>
      <c r="M56" s="31"/>
      <c r="N56" s="31"/>
      <c r="O56" s="31"/>
      <c r="P56" s="31"/>
      <c r="Q56" s="31"/>
      <c r="R56" s="31"/>
      <c r="S56" s="31"/>
      <c r="T56" s="31"/>
      <c r="U56" s="31"/>
      <c r="V56" s="31"/>
      <c r="W56" s="31"/>
      <c r="X56" s="31"/>
      <c r="Y56" s="31"/>
      <c r="Z56" s="31"/>
      <c r="AA56" s="31"/>
      <c r="AB56" s="22"/>
      <c r="AC56" s="22"/>
      <c r="AD56" s="22"/>
    </row>
    <row r="57" spans="1:33">
      <c r="A57" s="22"/>
      <c r="B57" s="22"/>
      <c r="C57" s="22"/>
      <c r="D57" s="22"/>
      <c r="E57" s="144"/>
      <c r="F57" s="144"/>
      <c r="G57" s="22"/>
      <c r="H57" s="31"/>
      <c r="I57" s="31"/>
      <c r="J57" s="31"/>
      <c r="K57" s="31"/>
      <c r="L57" s="31"/>
      <c r="M57" s="31"/>
      <c r="N57" s="31"/>
      <c r="O57" s="31"/>
      <c r="P57" s="31"/>
      <c r="Q57" s="31"/>
      <c r="R57" s="31"/>
      <c r="S57" s="31"/>
      <c r="T57" s="31"/>
      <c r="U57" s="31"/>
      <c r="V57" s="31"/>
      <c r="W57" s="31"/>
      <c r="X57" s="31"/>
      <c r="Y57" s="31"/>
      <c r="Z57" s="31"/>
      <c r="AA57" s="31"/>
      <c r="AB57" s="22"/>
      <c r="AC57" s="22"/>
      <c r="AD57" s="22"/>
    </row>
    <row r="58" spans="1:33" s="22" customFormat="1" ht="16" collapsed="1" thickBot="1">
      <c r="E58" s="326"/>
      <c r="F58" s="144"/>
      <c r="I58" s="31"/>
      <c r="J58" s="31"/>
      <c r="K58" s="31"/>
      <c r="L58" s="31"/>
    </row>
    <row r="59" spans="1:33" s="22" customFormat="1" ht="30" customHeight="1" thickBot="1">
      <c r="C59"/>
      <c r="D59" s="497" t="s">
        <v>175</v>
      </c>
      <c r="E59" s="492">
        <f>SUM(E24:E25,E30,E35:E36,E40:E45,E49:E51,E55:E56)</f>
        <v>0</v>
      </c>
      <c r="F59" s="145"/>
      <c r="I59" s="31"/>
      <c r="J59" s="31"/>
      <c r="K59" s="31"/>
      <c r="L59" s="31"/>
    </row>
    <row r="60" spans="1:33" s="22" customFormat="1" ht="15.5">
      <c r="A60" s="140" t="s">
        <v>6</v>
      </c>
      <c r="E60" s="325"/>
      <c r="I60" s="31"/>
      <c r="J60" s="31"/>
      <c r="K60" s="31"/>
      <c r="L60" s="31"/>
    </row>
    <row r="61" spans="1:33" s="22" customFormat="1" ht="15.5">
      <c r="A61" s="140"/>
      <c r="E61" s="325"/>
      <c r="I61" s="31"/>
      <c r="J61" s="31"/>
      <c r="K61" s="31"/>
      <c r="L61" s="31"/>
    </row>
    <row r="62" spans="1:33" s="22" customFormat="1" ht="15.5">
      <c r="A62" s="140"/>
      <c r="E62" s="325"/>
      <c r="I62" s="31"/>
      <c r="J62" s="31"/>
      <c r="K62" s="31"/>
      <c r="L62" s="31"/>
    </row>
    <row r="63" spans="1:33" s="22" customFormat="1">
      <c r="A63" s="36"/>
      <c r="I63" s="31"/>
      <c r="J63" s="31"/>
      <c r="K63" s="31"/>
      <c r="L63" s="31"/>
    </row>
    <row r="64" spans="1:33">
      <c r="A64" s="36"/>
      <c r="B64" s="22"/>
      <c r="C64" s="22"/>
      <c r="D64" s="22"/>
      <c r="E64" s="22"/>
      <c r="F64" s="22"/>
      <c r="G64" s="22"/>
      <c r="H64" s="22"/>
      <c r="I64" s="31"/>
      <c r="J64" s="31"/>
      <c r="K64" s="31"/>
      <c r="L64" s="31"/>
      <c r="M64" s="22"/>
      <c r="N64" s="22"/>
      <c r="O64" s="22"/>
      <c r="P64" s="22"/>
      <c r="Q64" s="22"/>
      <c r="R64" s="22"/>
      <c r="S64" s="22"/>
      <c r="T64" s="22"/>
      <c r="U64" s="22"/>
      <c r="V64" s="22"/>
      <c r="W64" s="22"/>
      <c r="X64" s="22"/>
      <c r="Y64" s="22"/>
      <c r="Z64" s="22"/>
      <c r="AA64" s="22"/>
      <c r="AB64" s="22"/>
      <c r="AC64" s="22"/>
      <c r="AD64" s="22"/>
    </row>
    <row r="65" spans="1:12" s="22" customFormat="1" hidden="1">
      <c r="A65" s="78" t="s">
        <v>176</v>
      </c>
      <c r="B65" s="10"/>
      <c r="C65" s="79"/>
      <c r="I65" s="31"/>
      <c r="J65" s="31"/>
      <c r="K65" s="31"/>
      <c r="L65" s="31"/>
    </row>
    <row r="66" spans="1:12" s="22" customFormat="1" hidden="1">
      <c r="A66" s="75" t="s">
        <v>177</v>
      </c>
      <c r="I66" s="31"/>
      <c r="J66" s="31"/>
      <c r="K66" s="31"/>
      <c r="L66" s="31"/>
    </row>
    <row r="67" spans="1:12" s="22" customFormat="1" hidden="1">
      <c r="A67" s="70" t="s">
        <v>178</v>
      </c>
      <c r="B67" s="191" t="s">
        <v>179</v>
      </c>
      <c r="C67" s="191" t="s">
        <v>180</v>
      </c>
      <c r="D67" s="191" t="s">
        <v>181</v>
      </c>
      <c r="E67" s="192" t="s">
        <v>182</v>
      </c>
      <c r="I67" s="31"/>
      <c r="J67" s="31"/>
      <c r="K67" s="31"/>
      <c r="L67" s="31"/>
    </row>
    <row r="68" spans="1:12" s="22" customFormat="1" hidden="1">
      <c r="A68" s="72" t="s">
        <v>183</v>
      </c>
      <c r="B68" s="71"/>
      <c r="C68" s="71"/>
      <c r="D68" s="71"/>
      <c r="E68" s="71"/>
      <c r="I68" s="31"/>
      <c r="J68" s="31"/>
      <c r="K68" s="31"/>
      <c r="L68" s="31"/>
    </row>
    <row r="69" spans="1:12" s="22" customFormat="1" hidden="1">
      <c r="A69" s="72" t="s">
        <v>184</v>
      </c>
      <c r="B69" t="s">
        <v>185</v>
      </c>
      <c r="C69" t="s">
        <v>186</v>
      </c>
      <c r="D69" t="s">
        <v>187</v>
      </c>
      <c r="E69" s="71"/>
      <c r="I69" s="31"/>
      <c r="J69" s="31"/>
      <c r="K69" s="31"/>
      <c r="L69" s="31"/>
    </row>
    <row r="70" spans="1:12" s="22" customFormat="1" ht="15" hidden="1" thickBot="1">
      <c r="A70" s="72" t="s">
        <v>188</v>
      </c>
      <c r="B70" s="71"/>
      <c r="C70" s="71"/>
      <c r="D70" s="71"/>
      <c r="E70" s="71"/>
      <c r="I70" s="31"/>
      <c r="J70" s="31"/>
      <c r="K70" s="31"/>
      <c r="L70" s="31"/>
    </row>
    <row r="71" spans="1:12" s="34" customFormat="1" ht="15" hidden="1" thickBot="1">
      <c r="A71" s="479" t="s">
        <v>189</v>
      </c>
      <c r="B71" s="76" t="s">
        <v>190</v>
      </c>
      <c r="C71" s="242" t="s">
        <v>1536</v>
      </c>
      <c r="D71" s="242" t="s">
        <v>191</v>
      </c>
      <c r="E71" s="479"/>
      <c r="F71" s="34" t="s">
        <v>192</v>
      </c>
    </row>
    <row r="72" spans="1:12" s="22" customFormat="1" hidden="1">
      <c r="A72" s="71"/>
      <c r="B72" s="253" t="s">
        <v>193</v>
      </c>
      <c r="C72" s="253" t="s">
        <v>194</v>
      </c>
      <c r="D72" s="71"/>
      <c r="E72" s="71"/>
      <c r="I72" s="31"/>
      <c r="J72" s="31"/>
      <c r="K72" s="31"/>
      <c r="L72" s="31"/>
    </row>
    <row r="73" spans="1:12" s="22" customFormat="1" hidden="1">
      <c r="A73" s="89" t="s">
        <v>195</v>
      </c>
      <c r="B73" s="248" t="s">
        <v>196</v>
      </c>
      <c r="C73" s="253" t="s">
        <v>1535</v>
      </c>
      <c r="D73" s="248" t="s">
        <v>197</v>
      </c>
      <c r="E73" s="253" t="s">
        <v>198</v>
      </c>
      <c r="I73" s="31"/>
      <c r="J73" s="31"/>
      <c r="K73" s="31"/>
      <c r="L73" s="31"/>
    </row>
    <row r="74" spans="1:12" s="22" customFormat="1" ht="15" hidden="1" thickBot="1">
      <c r="A74" s="72" t="s">
        <v>199</v>
      </c>
      <c r="B74" s="71"/>
      <c r="C74" s="71"/>
      <c r="D74" s="71"/>
      <c r="E74" s="71"/>
      <c r="I74" s="31"/>
      <c r="J74" s="31"/>
      <c r="K74" s="31"/>
      <c r="L74" s="31"/>
    </row>
    <row r="75" spans="1:12" s="34" customFormat="1" ht="15" hidden="1" thickBot="1">
      <c r="A75" s="479" t="s">
        <v>200</v>
      </c>
      <c r="B75" s="76" t="s">
        <v>201</v>
      </c>
      <c r="C75" s="242" t="s">
        <v>202</v>
      </c>
      <c r="D75" s="479" t="s">
        <v>203</v>
      </c>
      <c r="E75" s="479"/>
    </row>
    <row r="76" spans="1:12" s="22" customFormat="1" hidden="1">
      <c r="A76" s="73" t="s">
        <v>204</v>
      </c>
      <c r="B76" s="253" t="s">
        <v>205</v>
      </c>
      <c r="C76" s="253" t="s">
        <v>206</v>
      </c>
      <c r="D76" s="253" t="s">
        <v>207</v>
      </c>
      <c r="E76" s="71"/>
      <c r="I76" s="31"/>
      <c r="J76" s="31"/>
      <c r="K76" s="31"/>
      <c r="L76" s="31"/>
    </row>
    <row r="77" spans="1:12" s="22" customFormat="1" hidden="1">
      <c r="A77" s="72" t="s">
        <v>208</v>
      </c>
      <c r="B77" s="71"/>
      <c r="C77" s="71"/>
      <c r="D77" s="71"/>
      <c r="E77" s="71"/>
      <c r="I77" s="31"/>
      <c r="J77" s="31"/>
      <c r="K77" s="31"/>
      <c r="L77" s="31"/>
    </row>
    <row r="78" spans="1:12" s="22" customFormat="1" hidden="1">
      <c r="A78" s="73" t="s">
        <v>209</v>
      </c>
      <c r="B78" s="73" t="s">
        <v>210</v>
      </c>
      <c r="C78" s="73" t="s">
        <v>211</v>
      </c>
      <c r="D78" s="71"/>
      <c r="E78" s="71"/>
      <c r="I78" s="31"/>
      <c r="J78" s="31"/>
      <c r="K78" s="31"/>
    </row>
    <row r="79" spans="1:12" s="22" customFormat="1" hidden="1">
      <c r="A79" s="73" t="s">
        <v>212</v>
      </c>
      <c r="B79" s="253" t="s">
        <v>213</v>
      </c>
      <c r="C79" s="253" t="s">
        <v>214</v>
      </c>
      <c r="D79" s="253" t="s">
        <v>215</v>
      </c>
      <c r="E79" s="71"/>
      <c r="I79" s="31"/>
      <c r="J79" s="31"/>
      <c r="K79" s="31"/>
    </row>
    <row r="80" spans="1:12" s="34" customFormat="1" hidden="1">
      <c r="A80" s="479" t="s">
        <v>216</v>
      </c>
      <c r="B80" s="479" t="s">
        <v>217</v>
      </c>
      <c r="C80" s="479" t="s">
        <v>218</v>
      </c>
      <c r="D80" s="479" t="s">
        <v>219</v>
      </c>
      <c r="E80" s="479"/>
    </row>
    <row r="81" spans="1:11" s="22" customFormat="1" hidden="1">
      <c r="A81" s="72" t="s">
        <v>122</v>
      </c>
      <c r="B81" s="71"/>
      <c r="C81" s="71"/>
      <c r="D81" s="71"/>
      <c r="E81" s="71"/>
      <c r="I81" s="31"/>
      <c r="J81" s="31"/>
      <c r="K81" s="31"/>
    </row>
    <row r="82" spans="1:11" s="34" customFormat="1" hidden="1">
      <c r="A82" s="480" t="s">
        <v>220</v>
      </c>
      <c r="B82" s="481" t="s">
        <v>221</v>
      </c>
      <c r="C82" s="481" t="s">
        <v>222</v>
      </c>
      <c r="D82" s="481"/>
      <c r="E82" s="482"/>
    </row>
    <row r="83" spans="1:11" s="22" customFormat="1" hidden="1">
      <c r="A83" s="185"/>
      <c r="B83" s="255" t="s">
        <v>223</v>
      </c>
      <c r="C83" s="255" t="s">
        <v>224</v>
      </c>
      <c r="D83" s="184"/>
      <c r="E83" s="74"/>
      <c r="I83" s="31"/>
      <c r="J83" s="31"/>
      <c r="K83" s="31"/>
    </row>
    <row r="84" spans="1:11" s="34" customFormat="1" hidden="1">
      <c r="A84" s="480" t="s">
        <v>225</v>
      </c>
      <c r="B84" s="481" t="s">
        <v>226</v>
      </c>
      <c r="C84" s="481" t="s">
        <v>227</v>
      </c>
      <c r="D84" s="481"/>
      <c r="E84" s="482"/>
    </row>
    <row r="85" spans="1:11" s="22" customFormat="1" hidden="1">
      <c r="A85" s="254"/>
      <c r="B85" s="255" t="s">
        <v>228</v>
      </c>
      <c r="C85" s="255" t="s">
        <v>229</v>
      </c>
      <c r="D85" s="254"/>
      <c r="E85" s="254"/>
      <c r="I85" s="31"/>
      <c r="J85" s="31"/>
      <c r="K85" s="31"/>
    </row>
    <row r="86" spans="1:11" s="34" customFormat="1" hidden="1">
      <c r="A86" s="479" t="s">
        <v>230</v>
      </c>
      <c r="B86" s="479" t="s">
        <v>231</v>
      </c>
      <c r="C86" s="479" t="s">
        <v>232</v>
      </c>
      <c r="D86" s="479"/>
      <c r="E86" s="479"/>
    </row>
    <row r="87" spans="1:11" s="22" customFormat="1" hidden="1">
      <c r="A87" s="185" t="s">
        <v>233</v>
      </c>
      <c r="B87" s="255" t="s">
        <v>234</v>
      </c>
      <c r="C87" s="255" t="s">
        <v>235</v>
      </c>
      <c r="D87" s="184"/>
      <c r="E87" s="186"/>
      <c r="I87" s="31"/>
      <c r="J87" s="31"/>
      <c r="K87" s="31"/>
    </row>
    <row r="88" spans="1:11" s="22" customFormat="1" hidden="1">
      <c r="A88" s="189" t="s">
        <v>236</v>
      </c>
      <c r="B88" s="187"/>
      <c r="C88" s="187"/>
      <c r="D88" s="187"/>
      <c r="E88" s="188"/>
      <c r="I88" s="31"/>
      <c r="J88" s="31"/>
      <c r="K88" s="31"/>
    </row>
    <row r="89" spans="1:11" s="22" customFormat="1" hidden="1">
      <c r="A89" s="87" t="s">
        <v>230</v>
      </c>
      <c r="B89" s="478" t="s">
        <v>237</v>
      </c>
      <c r="C89" s="478" t="s">
        <v>238</v>
      </c>
      <c r="D89" s="478"/>
      <c r="E89" s="88"/>
      <c r="I89" s="31"/>
      <c r="J89" s="31"/>
      <c r="K89" s="31"/>
    </row>
    <row r="90" spans="1:11" s="22" customFormat="1" hidden="1">
      <c r="A90" s="86" t="s">
        <v>233</v>
      </c>
      <c r="B90" s="256" t="s">
        <v>239</v>
      </c>
      <c r="C90" s="256" t="s">
        <v>240</v>
      </c>
      <c r="D90" s="256" t="s">
        <v>241</v>
      </c>
      <c r="E90" s="85"/>
      <c r="I90" s="31"/>
      <c r="J90" s="31"/>
      <c r="K90" s="31"/>
    </row>
    <row r="91" spans="1:11" s="22" customFormat="1" hidden="1">
      <c r="A91" s="87" t="s">
        <v>242</v>
      </c>
      <c r="B91" s="257" t="s">
        <v>243</v>
      </c>
      <c r="C91" s="257" t="s">
        <v>244</v>
      </c>
      <c r="D91" s="257" t="s">
        <v>245</v>
      </c>
      <c r="E91" s="88"/>
      <c r="I91" s="31"/>
      <c r="J91" s="31"/>
      <c r="K91" s="31"/>
    </row>
    <row r="92" spans="1:11" s="22" customFormat="1" hidden="1"/>
    <row r="93" spans="1:11" s="22" customFormat="1" hidden="1"/>
    <row r="94" spans="1:11" s="22" customFormat="1" hidden="1"/>
    <row r="95" spans="1:11" s="22" customFormat="1" hidden="1">
      <c r="A95" s="126" t="s">
        <v>246</v>
      </c>
      <c r="B95" s="476"/>
      <c r="C95" s="476"/>
      <c r="D95" s="476"/>
      <c r="E95" s="477"/>
    </row>
    <row r="96" spans="1:11" s="22" customFormat="1" hidden="1">
      <c r="A96" s="127" t="s">
        <v>247</v>
      </c>
      <c r="B96" s="476" t="s">
        <v>248</v>
      </c>
      <c r="C96" s="476" t="s">
        <v>249</v>
      </c>
      <c r="D96" s="476" t="s">
        <v>250</v>
      </c>
      <c r="E96" s="477"/>
    </row>
    <row r="97" spans="1:40" s="22" customFormat="1" hidden="1">
      <c r="A97" s="127" t="s">
        <v>251</v>
      </c>
      <c r="B97" s="476" t="s">
        <v>252</v>
      </c>
      <c r="C97" s="476" t="s">
        <v>253</v>
      </c>
      <c r="D97" s="476"/>
      <c r="E97" s="477"/>
    </row>
    <row r="98" spans="1:40" s="22" customFormat="1" ht="23.25" customHeight="1">
      <c r="B98" s="34"/>
      <c r="C98" s="34"/>
      <c r="D98" s="34"/>
      <c r="E98" s="34"/>
    </row>
    <row r="99" spans="1:40">
      <c r="A99" s="22"/>
      <c r="B99" s="34"/>
      <c r="C99" s="34"/>
      <c r="D99" s="34"/>
      <c r="E99" s="34"/>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row>
    <row r="100" spans="1:40">
      <c r="A100" s="22"/>
      <c r="B100" s="34"/>
      <c r="C100" s="34"/>
      <c r="D100" s="34"/>
      <c r="E100" s="34"/>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row>
    <row r="101" spans="1:40">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row>
    <row r="102" spans="1:40">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row>
    <row r="103" spans="1:40">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row>
    <row r="104" spans="1:40">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row>
    <row r="105" spans="1:40">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row>
    <row r="106" spans="1:40">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row>
    <row r="107" spans="1:40">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row>
    <row r="108" spans="1:40">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row>
    <row r="109" spans="1:40">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row>
    <row r="110" spans="1:40">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row>
    <row r="111" spans="1:40">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row>
    <row r="112" spans="1:40">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row>
    <row r="113" spans="1:40">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row>
    <row r="114" spans="1:40">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row>
    <row r="115" spans="1:40">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row>
    <row r="116" spans="1:40">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row>
    <row r="117" spans="1:40">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row>
    <row r="118" spans="1:40">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row>
    <row r="119" spans="1:40">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row>
    <row r="120" spans="1:40">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row>
    <row r="121" spans="1:40">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row>
    <row r="122" spans="1:40">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row>
    <row r="123" spans="1:40">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row>
    <row r="124" spans="1:40">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row>
    <row r="125" spans="1:40">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row>
    <row r="126" spans="1:40">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row>
    <row r="127" spans="1:40">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row>
    <row r="128" spans="1:40">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row>
    <row r="129" spans="1:40">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row>
    <row r="130" spans="1:40">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row>
    <row r="131" spans="1:40">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row>
    <row r="132" spans="1:40">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row>
    <row r="133" spans="1:40">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row>
    <row r="134" spans="1:40">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row>
    <row r="135" spans="1:40">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row>
    <row r="136" spans="1:40">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row>
    <row r="137" spans="1:40">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row>
    <row r="138" spans="1:40">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row>
    <row r="139" spans="1:40">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row>
    <row r="140" spans="1:40">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row>
    <row r="141" spans="1:40">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row>
    <row r="142" spans="1:40">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row>
    <row r="143" spans="1:40">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row>
    <row r="144" spans="1:40">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row>
    <row r="145" spans="1:40">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row>
    <row r="146" spans="1:40">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row>
    <row r="147" spans="1:40" s="96" customFormat="1"/>
    <row r="148" spans="1:40" s="96" customFormat="1"/>
    <row r="149" spans="1:40" s="96" customFormat="1"/>
    <row r="150" spans="1:40" s="96" customFormat="1"/>
    <row r="151" spans="1:40" s="96" customFormat="1"/>
    <row r="152" spans="1:40" s="96" customFormat="1"/>
    <row r="153" spans="1:40" s="96" customFormat="1"/>
    <row r="154" spans="1:40" s="96" customFormat="1"/>
    <row r="155" spans="1:40" s="96" customFormat="1"/>
    <row r="156" spans="1:40" s="96" customFormat="1"/>
    <row r="157" spans="1:40" s="96" customFormat="1"/>
    <row r="158" spans="1:40" s="96" customFormat="1"/>
    <row r="159" spans="1:40" s="96" customFormat="1"/>
    <row r="160" spans="1:40" s="96" customFormat="1"/>
    <row r="161" s="96" customFormat="1"/>
    <row r="162" s="96" customFormat="1"/>
    <row r="163" s="96" customFormat="1"/>
    <row r="164" s="96" customFormat="1"/>
    <row r="165" s="96" customFormat="1"/>
    <row r="166" s="96" customFormat="1"/>
    <row r="167" s="96" customFormat="1"/>
    <row r="168" s="96" customFormat="1"/>
    <row r="169" s="96" customFormat="1"/>
    <row r="170" s="96" customFormat="1"/>
    <row r="171" s="96" customFormat="1"/>
    <row r="172" s="96" customFormat="1"/>
    <row r="173" s="96" customFormat="1"/>
    <row r="174" s="96" customFormat="1"/>
    <row r="175" s="96" customFormat="1"/>
    <row r="176" s="96" customFormat="1"/>
    <row r="177" s="96" customFormat="1"/>
    <row r="178" s="96" customFormat="1"/>
    <row r="179" s="96" customFormat="1"/>
    <row r="180" s="96" customFormat="1"/>
    <row r="181" s="96" customFormat="1"/>
    <row r="182" s="96" customFormat="1"/>
    <row r="183" s="96" customFormat="1"/>
    <row r="184" s="96" customFormat="1"/>
    <row r="185" s="96" customFormat="1"/>
    <row r="186" s="96" customFormat="1"/>
    <row r="187" s="96" customFormat="1"/>
    <row r="188" s="96" customFormat="1"/>
    <row r="189" s="96" customFormat="1"/>
    <row r="190" s="96" customFormat="1"/>
    <row r="191" s="96" customFormat="1"/>
    <row r="192" s="96" customFormat="1"/>
    <row r="193" s="96" customFormat="1"/>
    <row r="194" s="96" customFormat="1"/>
    <row r="195" s="96" customFormat="1"/>
    <row r="196" s="96" customFormat="1"/>
    <row r="197" s="96" customFormat="1"/>
    <row r="198" s="96" customFormat="1"/>
    <row r="199" s="96" customFormat="1"/>
    <row r="200" s="96" customFormat="1"/>
    <row r="201" s="96" customFormat="1"/>
    <row r="202" s="96" customFormat="1"/>
    <row r="203" s="96" customFormat="1"/>
    <row r="204" s="96" customFormat="1"/>
    <row r="205" s="96" customFormat="1"/>
    <row r="206" s="96" customFormat="1"/>
    <row r="207" s="96" customFormat="1"/>
    <row r="208" s="96" customFormat="1"/>
    <row r="209" s="96" customFormat="1"/>
    <row r="210" s="96" customFormat="1"/>
    <row r="211" s="96" customFormat="1"/>
    <row r="212" s="96" customFormat="1"/>
    <row r="213" s="96" customFormat="1"/>
    <row r="214" s="96" customFormat="1"/>
    <row r="215" s="96" customFormat="1"/>
    <row r="216" s="96" customFormat="1"/>
    <row r="217" s="96" customFormat="1"/>
    <row r="218" s="96" customFormat="1"/>
    <row r="219" s="96" customFormat="1"/>
    <row r="220" s="96" customFormat="1"/>
    <row r="221" s="96" customFormat="1"/>
    <row r="222" s="96" customFormat="1"/>
    <row r="223" s="96" customFormat="1"/>
    <row r="224" s="96" customFormat="1"/>
    <row r="225" s="96" customFormat="1"/>
    <row r="226" s="96" customFormat="1"/>
    <row r="227" s="96" customFormat="1"/>
    <row r="228" s="96" customFormat="1"/>
    <row r="229" s="96" customFormat="1"/>
    <row r="230" s="96" customFormat="1"/>
    <row r="231" s="96" customFormat="1"/>
    <row r="232" s="96" customFormat="1"/>
    <row r="233" s="96" customFormat="1"/>
    <row r="234" s="96" customFormat="1"/>
    <row r="235" s="96" customFormat="1"/>
    <row r="236" s="96" customFormat="1"/>
    <row r="237" s="96" customFormat="1"/>
    <row r="238" s="96" customFormat="1"/>
    <row r="239" s="96" customFormat="1"/>
    <row r="240" s="96" customFormat="1"/>
    <row r="241" s="96" customFormat="1"/>
    <row r="242" s="96" customFormat="1"/>
    <row r="243" s="96" customFormat="1"/>
    <row r="244" s="96" customFormat="1"/>
    <row r="245" s="96" customFormat="1"/>
    <row r="246" s="96" customFormat="1"/>
    <row r="247" s="96" customFormat="1"/>
    <row r="248" s="96" customFormat="1"/>
    <row r="249" s="96" customFormat="1"/>
    <row r="250" s="96" customFormat="1"/>
    <row r="251" s="96" customFormat="1"/>
    <row r="252" s="96" customFormat="1"/>
    <row r="253" s="96" customFormat="1"/>
    <row r="254" s="96" customFormat="1"/>
    <row r="255" s="96" customFormat="1"/>
    <row r="256" s="96" customFormat="1"/>
    <row r="257" s="96" customFormat="1"/>
    <row r="258" s="96" customFormat="1"/>
    <row r="259" s="96" customFormat="1"/>
    <row r="260" s="96" customFormat="1"/>
    <row r="261" s="96" customFormat="1"/>
    <row r="262" s="96" customFormat="1"/>
    <row r="263" s="96" customFormat="1"/>
    <row r="264" s="96" customFormat="1"/>
    <row r="265" s="96" customFormat="1"/>
    <row r="266" s="96" customFormat="1"/>
    <row r="267" s="96" customFormat="1"/>
    <row r="268" s="96" customFormat="1"/>
    <row r="269" s="96" customFormat="1"/>
    <row r="270" s="96" customFormat="1"/>
    <row r="271" s="96" customFormat="1"/>
    <row r="272" s="96" customFormat="1"/>
    <row r="273" s="96" customFormat="1"/>
    <row r="274" s="96" customFormat="1"/>
    <row r="275" s="96" customFormat="1"/>
    <row r="276" s="96" customFormat="1"/>
    <row r="277" s="96" customFormat="1"/>
    <row r="278" s="96" customFormat="1"/>
    <row r="279" s="96" customFormat="1"/>
    <row r="280" s="96" customFormat="1"/>
    <row r="281" s="96" customFormat="1"/>
    <row r="282" s="96" customFormat="1"/>
    <row r="283" s="96" customFormat="1"/>
    <row r="284" s="96" customFormat="1"/>
    <row r="285" s="96" customFormat="1"/>
    <row r="286" s="96" customFormat="1"/>
    <row r="287" s="96" customFormat="1"/>
    <row r="288" s="96" customFormat="1"/>
    <row r="289" s="96" customFormat="1"/>
    <row r="290" s="96" customFormat="1"/>
    <row r="291" s="96" customFormat="1"/>
    <row r="292" s="96" customFormat="1"/>
    <row r="293" s="96" customFormat="1"/>
    <row r="294" s="96" customFormat="1"/>
    <row r="295" s="96" customFormat="1"/>
    <row r="296" s="96" customFormat="1"/>
    <row r="297" s="96" customFormat="1"/>
    <row r="298" s="96" customFormat="1"/>
    <row r="299" s="96" customFormat="1"/>
    <row r="300" s="96" customFormat="1"/>
    <row r="301" s="96" customFormat="1"/>
    <row r="302" s="96" customFormat="1"/>
    <row r="303" s="96" customFormat="1"/>
    <row r="304" s="96" customFormat="1"/>
    <row r="305" s="96" customFormat="1"/>
    <row r="306" s="96" customFormat="1"/>
    <row r="307" s="96" customFormat="1"/>
    <row r="308" s="96" customFormat="1"/>
    <row r="309" s="96" customFormat="1"/>
    <row r="310" s="96" customFormat="1"/>
    <row r="311" s="96" customFormat="1"/>
    <row r="312" s="96" customFormat="1"/>
    <row r="313" s="96" customFormat="1"/>
    <row r="314" s="96" customFormat="1"/>
    <row r="315" s="96" customFormat="1"/>
    <row r="316" s="96" customFormat="1"/>
    <row r="317" s="96" customFormat="1"/>
    <row r="318" s="96" customFormat="1"/>
    <row r="319" s="96" customFormat="1"/>
    <row r="320" s="96" customFormat="1"/>
    <row r="321" s="96" customFormat="1"/>
    <row r="322" s="96" customFormat="1"/>
    <row r="323" s="96" customFormat="1"/>
    <row r="324" s="96" customFormat="1"/>
    <row r="325" s="96" customFormat="1"/>
    <row r="326" s="96" customFormat="1"/>
    <row r="327" s="96" customFormat="1"/>
    <row r="328" s="96" customFormat="1"/>
    <row r="329" s="96" customFormat="1"/>
    <row r="330" s="96" customFormat="1"/>
    <row r="331" s="96" customFormat="1"/>
    <row r="332" s="96" customFormat="1"/>
    <row r="333" s="96" customFormat="1"/>
    <row r="334" s="96" customFormat="1"/>
    <row r="335" s="96" customFormat="1"/>
    <row r="336" s="96" customFormat="1"/>
    <row r="337" s="96" customFormat="1"/>
    <row r="338" s="96" customFormat="1"/>
    <row r="339" s="96" customFormat="1"/>
    <row r="340" s="96" customFormat="1"/>
    <row r="341" s="96" customFormat="1"/>
    <row r="342" s="96" customFormat="1"/>
    <row r="343" s="96" customFormat="1"/>
    <row r="344" s="96" customFormat="1"/>
    <row r="345" s="96" customFormat="1"/>
    <row r="346" s="96" customFormat="1"/>
  </sheetData>
  <sheetProtection algorithmName="SHA-512" hashValue="scBTkU/dFOCx3Pru5p/AEfNFvwmRQimDHY/+IavJt9luOsSkf1LrlwpSUPQPmeS+E0F4rKE28ABSOhKzZP+J8w==" saltValue="sUMqixlMpqYDsKTnXX3eQA==" spinCount="100000" sheet="1" objects="1" scenarios="1"/>
  <customSheetViews>
    <customSheetView guid="{52A26A5D-FD00-480B-943F-DB06B537D6D8}" scale="90" hiddenRows="1" topLeftCell="A25">
      <selection activeCell="K12" sqref="K12"/>
      <pageMargins left="0" right="0" top="0" bottom="0" header="0" footer="0"/>
      <pageSetup scale="46" orientation="landscape" r:id="rId1"/>
    </customSheetView>
    <customSheetView guid="{EF22FA0B-F747-41C1-93DE-56651BBC6020}" scale="90" hiddenRows="1" topLeftCell="C46">
      <selection activeCell="F25" sqref="F25"/>
      <pageMargins left="0" right="0" top="0" bottom="0" header="0" footer="0"/>
      <pageSetup scale="46" orientation="landscape" r:id="rId2"/>
    </customSheetView>
  </customSheetViews>
  <mergeCells count="16">
    <mergeCell ref="A1:H1"/>
    <mergeCell ref="A40:A41"/>
    <mergeCell ref="A42:A43"/>
    <mergeCell ref="A44:A45"/>
    <mergeCell ref="H9:H10"/>
    <mergeCell ref="E15:G15"/>
    <mergeCell ref="E16:G16"/>
    <mergeCell ref="E17:G17"/>
    <mergeCell ref="B9:G9"/>
    <mergeCell ref="E14:G14"/>
    <mergeCell ref="E18:G18"/>
    <mergeCell ref="E19:G19"/>
    <mergeCell ref="E10:G10"/>
    <mergeCell ref="E11:G11"/>
    <mergeCell ref="E12:G12"/>
    <mergeCell ref="E13:G13"/>
  </mergeCells>
  <dataValidations count="19">
    <dataValidation type="list" allowBlank="1" showInputMessage="1" showErrorMessage="1" sqref="D36" xr:uid="{00000000-0002-0000-0200-000000000000}">
      <formula1>$B$80:$E$80</formula1>
    </dataValidation>
    <dataValidation type="list" allowBlank="1" showInputMessage="1" showErrorMessage="1" sqref="D55" xr:uid="{00000000-0002-0000-0200-000001000000}">
      <formula1>$B$97:$D$97</formula1>
    </dataValidation>
    <dataValidation type="list" allowBlank="1" showInputMessage="1" showErrorMessage="1" sqref="D34" xr:uid="{00000000-0002-0000-0200-000002000000}">
      <formula1>$B$78:$D$78</formula1>
    </dataValidation>
    <dataValidation type="list" allowBlank="1" showInputMessage="1" showErrorMessage="1" sqref="D29" xr:uid="{00000000-0002-0000-0200-000003000000}">
      <formula1>$B$75:$E$75</formula1>
    </dataValidation>
    <dataValidation type="list" allowBlank="1" showInputMessage="1" showErrorMessage="1" sqref="D35" xr:uid="{00000000-0002-0000-0200-000004000000}">
      <formula1>$B$79:$E$79</formula1>
    </dataValidation>
    <dataValidation type="list" allowBlank="1" showInputMessage="1" showErrorMessage="1" sqref="D30" xr:uid="{00000000-0002-0000-0200-000005000000}">
      <formula1>$B$76:$E$76</formula1>
    </dataValidation>
    <dataValidation type="list" allowBlank="1" showInputMessage="1" showErrorMessage="1" sqref="D56" xr:uid="{00000000-0002-0000-0200-000006000000}">
      <formula1>$B$96:$E$96</formula1>
    </dataValidation>
    <dataValidation type="list" allowBlank="1" showInputMessage="1" showErrorMessage="1" sqref="D23" xr:uid="{00000000-0002-0000-0200-000007000000}">
      <formula1>$B$71:$E$71</formula1>
    </dataValidation>
    <dataValidation type="list" allowBlank="1" showInputMessage="1" showErrorMessage="1" sqref="D45" xr:uid="{00000000-0002-0000-0200-00000A000000}">
      <formula1>$B$87:$D$87</formula1>
    </dataValidation>
    <dataValidation type="list" allowBlank="1" showInputMessage="1" showErrorMessage="1" sqref="D49" xr:uid="{00000000-0002-0000-0200-00000B000000}">
      <formula1>$B$89:$D$89</formula1>
    </dataValidation>
    <dataValidation type="list" allowBlank="1" showInputMessage="1" showErrorMessage="1" sqref="D50" xr:uid="{00000000-0002-0000-0200-00000C000000}">
      <formula1>$B$90:$E$90</formula1>
    </dataValidation>
    <dataValidation type="list" allowBlank="1" showInputMessage="1" showErrorMessage="1" sqref="D51" xr:uid="{00000000-0002-0000-0200-00000D000000}">
      <formula1>$B$91:$E$91</formula1>
    </dataValidation>
    <dataValidation type="list" allowBlank="1" showInputMessage="1" showErrorMessage="1" sqref="D25" xr:uid="{00000000-0002-0000-0200-00000E000000}">
      <formula1>$B$73:$F$73</formula1>
    </dataValidation>
    <dataValidation type="list" allowBlank="1" showInputMessage="1" showErrorMessage="1" sqref="D40" xr:uid="{297D7875-BBDF-43EA-AAD6-081232070D6D}">
      <formula1>$B$82:$D$82</formula1>
    </dataValidation>
    <dataValidation type="list" allowBlank="1" showInputMessage="1" showErrorMessage="1" sqref="D42" xr:uid="{6560BB2A-EDCE-4732-A402-C745337020AA}">
      <formula1>$B$84:$D$84</formula1>
    </dataValidation>
    <dataValidation type="list" allowBlank="1" showInputMessage="1" showErrorMessage="1" sqref="D44" xr:uid="{035577FE-82A2-4FF2-8AC2-488598B33DEA}">
      <formula1>$B$86:$D$86</formula1>
    </dataValidation>
    <dataValidation type="list" allowBlank="1" showInputMessage="1" showErrorMessage="1" sqref="D24" xr:uid="{14F2C971-2858-4682-81A3-0585D9905DF2}">
      <formula1>$B$72:$D$72</formula1>
    </dataValidation>
    <dataValidation type="list" allowBlank="1" showInputMessage="1" showErrorMessage="1" sqref="D41" xr:uid="{B292E96D-AAF7-4647-AEBA-81507CC4EAE9}">
      <formula1>$B$83:$D$83</formula1>
    </dataValidation>
    <dataValidation type="list" allowBlank="1" showInputMessage="1" showErrorMessage="1" sqref="D43" xr:uid="{ACF5C4C8-945A-49F1-A885-96A24AFDBB6F}">
      <formula1>$B$85:$D$85</formula1>
    </dataValidation>
  </dataValidations>
  <hyperlinks>
    <hyperlink ref="H18" r:id="rId3" xr:uid="{3063A73C-406C-489D-9AE0-DC6300699E07}"/>
  </hyperlinks>
  <pageMargins left="0.7" right="0.7" top="0.75" bottom="0.75" header="0.3" footer="0.3"/>
  <pageSetup scale="46" orientation="landscape" r:id="rId4"/>
  <drawing r:id="rId5"/>
  <legacyDrawing r:id="rId6"/>
  <tableParts count="1">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sheetPr>
  <dimension ref="A1:AP191"/>
  <sheetViews>
    <sheetView topLeftCell="B1" zoomScale="95" zoomScaleNormal="95" zoomScaleSheetLayoutView="77" workbookViewId="0">
      <selection activeCell="C52" sqref="C52"/>
    </sheetView>
  </sheetViews>
  <sheetFormatPr defaultColWidth="9.1796875" defaultRowHeight="14.5"/>
  <cols>
    <col min="1" max="1" width="48.1796875" customWidth="1"/>
    <col min="2" max="2" width="50.453125" customWidth="1"/>
    <col min="3" max="3" width="38.453125" customWidth="1"/>
    <col min="4" max="4" width="92.453125" customWidth="1"/>
    <col min="5" max="5" width="20.26953125" customWidth="1"/>
    <col min="6" max="6" width="21.453125" customWidth="1"/>
    <col min="7" max="7" width="11" customWidth="1"/>
    <col min="8" max="8" width="32.453125" customWidth="1"/>
    <col min="9" max="9" width="42.453125" customWidth="1"/>
    <col min="10" max="10" width="41.26953125" customWidth="1"/>
    <col min="11" max="11" width="37.1796875" customWidth="1"/>
    <col min="12" max="12" width="13.7265625" customWidth="1"/>
    <col min="13" max="13" width="21.26953125" bestFit="1" customWidth="1"/>
  </cols>
  <sheetData>
    <row r="1" spans="1:42" ht="28.5" customHeight="1">
      <c r="A1" s="537" t="s">
        <v>254</v>
      </c>
      <c r="B1" s="537"/>
      <c r="C1" s="537"/>
      <c r="D1" s="537"/>
      <c r="E1" s="537"/>
      <c r="F1" s="537"/>
      <c r="G1" s="22"/>
      <c r="H1" s="34"/>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row>
    <row r="2" spans="1:42" ht="24.75" customHeight="1" thickBot="1">
      <c r="A2" s="22"/>
      <c r="B2" s="21"/>
      <c r="C2" s="21"/>
      <c r="D2" s="21"/>
      <c r="E2" s="21"/>
      <c r="F2" s="21"/>
      <c r="G2" s="22"/>
      <c r="H2" s="34"/>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row>
    <row r="3" spans="1:42" ht="30" customHeight="1">
      <c r="A3" s="164" t="s">
        <v>255</v>
      </c>
      <c r="B3" s="53" t="str">
        <f>SUM(E58) &amp; " of 30"</f>
        <v>0 of 30</v>
      </c>
      <c r="C3" s="32"/>
      <c r="D3" s="24"/>
      <c r="E3" s="21"/>
      <c r="F3" s="22"/>
      <c r="G3" s="22"/>
      <c r="H3" s="34"/>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row>
    <row r="4" spans="1:42" ht="20.25" customHeight="1">
      <c r="A4" s="329" t="s">
        <v>256</v>
      </c>
      <c r="B4" s="112" t="str">
        <f>SUM(E16:E21)   &amp; " of " &amp; 10</f>
        <v>0 of 10</v>
      </c>
      <c r="C4" s="90"/>
      <c r="D4" s="21"/>
      <c r="E4" s="21"/>
      <c r="F4" s="21"/>
      <c r="G4" s="22"/>
      <c r="H4" s="34"/>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row>
    <row r="5" spans="1:42" ht="23.25" customHeight="1">
      <c r="A5" s="329" t="s">
        <v>257</v>
      </c>
      <c r="B5" s="112" t="str">
        <f>SUM(E25:E27)   &amp; " of " &amp; 3</f>
        <v>0 of 3</v>
      </c>
      <c r="C5" s="21"/>
      <c r="D5" s="21"/>
      <c r="E5" s="21"/>
      <c r="F5" s="21"/>
      <c r="G5" s="22"/>
      <c r="H5" s="34"/>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row>
    <row r="6" spans="1:42" s="22" customFormat="1" ht="23.25" customHeight="1">
      <c r="A6" s="208" t="s">
        <v>258</v>
      </c>
      <c r="B6" s="112" t="str">
        <f>IF(SUM(E31:E44)&gt;=12,12,SUM(E31:E44))+IF(SUM(E45:E48)&gt;=3,3,SUM(E45:E48)) &amp; " of " &amp; 15</f>
        <v>0 of 15</v>
      </c>
      <c r="C6" s="32"/>
      <c r="D6" s="21"/>
      <c r="E6" s="21"/>
      <c r="F6" s="21"/>
      <c r="H6" s="34"/>
    </row>
    <row r="7" spans="1:42" s="22" customFormat="1" ht="23.25" customHeight="1" thickBot="1">
      <c r="A7" s="168" t="s">
        <v>259</v>
      </c>
      <c r="B7" s="113" t="str">
        <f>SUM(E52:E55)  &amp; " of " &amp; 2</f>
        <v>0 of 2</v>
      </c>
      <c r="C7" s="32"/>
      <c r="D7" s="21"/>
      <c r="E7" s="21"/>
      <c r="F7" s="21"/>
      <c r="H7" s="34"/>
    </row>
    <row r="8" spans="1:42" ht="24.75" customHeight="1" thickBot="1">
      <c r="A8" s="167"/>
      <c r="B8" s="25"/>
      <c r="C8" s="25"/>
      <c r="D8" s="21"/>
      <c r="E8" s="21"/>
      <c r="F8" s="21"/>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row>
    <row r="9" spans="1:42" ht="38.5" customHeight="1" thickBot="1">
      <c r="A9" s="144"/>
      <c r="B9" s="569" t="s">
        <v>125</v>
      </c>
      <c r="C9" s="570"/>
      <c r="D9" s="571"/>
      <c r="E9" s="135" t="s">
        <v>126</v>
      </c>
      <c r="F9" s="150"/>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row>
    <row r="10" spans="1:42" ht="74.5" customHeight="1">
      <c r="A10" s="144"/>
      <c r="B10" s="565" t="s">
        <v>260</v>
      </c>
      <c r="C10" s="566"/>
      <c r="D10" s="330"/>
      <c r="E10" s="331" t="s">
        <v>132</v>
      </c>
      <c r="F10" s="151"/>
      <c r="G10" s="34"/>
      <c r="H10" s="34"/>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row>
    <row r="11" spans="1:42" ht="82.5" customHeight="1">
      <c r="A11" s="144"/>
      <c r="B11" s="567" t="s">
        <v>261</v>
      </c>
      <c r="C11" s="568"/>
      <c r="D11" s="332"/>
      <c r="E11" s="277" t="s">
        <v>132</v>
      </c>
      <c r="F11" s="151"/>
      <c r="G11" s="34"/>
      <c r="H11" s="34"/>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row>
    <row r="12" spans="1:42" ht="30.75" customHeight="1">
      <c r="A12" s="144"/>
      <c r="B12" s="561" t="s">
        <v>262</v>
      </c>
      <c r="C12" s="562"/>
      <c r="D12" s="332"/>
      <c r="E12" s="334" t="s">
        <v>132</v>
      </c>
      <c r="F12" s="151"/>
      <c r="G12" s="34"/>
      <c r="H12" s="34"/>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row>
    <row r="13" spans="1:42" ht="30.75" customHeight="1" thickBot="1">
      <c r="A13" s="22"/>
      <c r="B13" s="563" t="s">
        <v>263</v>
      </c>
      <c r="C13" s="564"/>
      <c r="D13" s="311"/>
      <c r="E13" s="290" t="s">
        <v>132</v>
      </c>
      <c r="F13" s="151"/>
      <c r="G13" s="34"/>
      <c r="H13" s="34"/>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row>
    <row r="14" spans="1:42" ht="25" customHeight="1" thickBot="1">
      <c r="A14" s="218" t="s">
        <v>256</v>
      </c>
      <c r="B14" s="144"/>
      <c r="C14" s="22"/>
      <c r="D14" s="22"/>
      <c r="E14" s="151"/>
      <c r="F14" s="151"/>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row>
    <row r="15" spans="1:42" ht="40" customHeight="1">
      <c r="A15" s="273" t="s">
        <v>7</v>
      </c>
      <c r="B15" s="291" t="s">
        <v>127</v>
      </c>
      <c r="C15" s="291" t="s">
        <v>140</v>
      </c>
      <c r="D15" s="291" t="s">
        <v>141</v>
      </c>
      <c r="E15" s="291" t="s">
        <v>142</v>
      </c>
      <c r="F15" s="348" t="s">
        <v>126</v>
      </c>
      <c r="G15" s="22"/>
      <c r="H15" s="22"/>
      <c r="I15" s="22"/>
      <c r="J15" s="22"/>
      <c r="K15" s="22"/>
      <c r="L15" s="22"/>
      <c r="M15" s="31"/>
      <c r="N15" s="31"/>
      <c r="O15" s="31"/>
      <c r="P15" s="31"/>
      <c r="Q15" s="31"/>
      <c r="R15" s="31"/>
      <c r="S15" s="31"/>
      <c r="T15" s="31"/>
      <c r="U15" s="31"/>
      <c r="V15" s="31"/>
      <c r="W15" s="31"/>
      <c r="X15" s="31"/>
      <c r="Y15" s="31"/>
      <c r="Z15" s="31"/>
      <c r="AA15" s="31"/>
      <c r="AB15" s="31"/>
      <c r="AC15" s="31"/>
      <c r="AD15" s="31"/>
      <c r="AE15" s="31"/>
      <c r="AF15" s="31"/>
      <c r="AG15" s="31"/>
    </row>
    <row r="16" spans="1:42" ht="63.75" customHeight="1">
      <c r="A16" s="293" t="s">
        <v>264</v>
      </c>
      <c r="B16" s="350" t="s">
        <v>265</v>
      </c>
      <c r="C16" s="310"/>
      <c r="D16" s="310"/>
      <c r="E16" s="294" t="str">
        <f>IF(AND($D$10&lt;&gt;$B$80,D16=$B$85),3,IF(AND($D$10&lt;&gt;$B$80,D16=$C$85),2,IF(AND($D$10&lt;&gt;$B$80,D16=$D$85),1,IF(D16=$E$85,0,IF(AND($D$10=$B$80,D16=$B$85),2.5,IF(AND($D$10=$B$80,D16=$C$85),1.5,IF(AND($D$10=$B$80,D16=$D$85),0.5,"")))))))</f>
        <v/>
      </c>
      <c r="F16" s="286" t="s">
        <v>266</v>
      </c>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row>
    <row r="17" spans="1:42" ht="62.5" customHeight="1">
      <c r="A17" s="293" t="s">
        <v>267</v>
      </c>
      <c r="B17" s="351" t="s">
        <v>268</v>
      </c>
      <c r="C17" s="310"/>
      <c r="D17" s="310"/>
      <c r="E17" s="294" t="str">
        <f>IF(AND(D11&lt;&gt;B80,D17=$B$86),3,IF(AND(D11&lt;&gt;B80,D17=$C$86),2,IF(AND(D11&lt;&gt;B80,D17=$D$86),1,IF(D17=$E$86,0,IF(AND(D11=B80,D17=$B$86),2.5,IF(AND(D11=B80,D17=$C$86),1.5,IF(AND(D11=B80,D17=$D$86),0.5,IF(D17=$E$86,0,""))))))))</f>
        <v/>
      </c>
      <c r="F17" s="286" t="s">
        <v>266</v>
      </c>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row>
    <row r="18" spans="1:42" ht="39" customHeight="1">
      <c r="A18" s="293" t="str">
        <f>IF(D10=B80,"Code advocacy","Not applicable")</f>
        <v>Not applicable</v>
      </c>
      <c r="B18" s="349" t="str">
        <f>IF(OR(D10=B80,D11=B80),"Does your city advocate to the state for more-stringent energy codes?","Not applicable")</f>
        <v>Not applicable</v>
      </c>
      <c r="C18" s="310"/>
      <c r="D18" s="310"/>
      <c r="E18" s="294" t="str">
        <f>IF(D18=B87,1,IF(D18=C87,0.5,IF(D18=D87,0,"")))</f>
        <v/>
      </c>
      <c r="F18" s="335" t="s">
        <v>132</v>
      </c>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row>
    <row r="19" spans="1:42" ht="78" customHeight="1">
      <c r="A19" s="293" t="s">
        <v>269</v>
      </c>
      <c r="B19" s="349" t="s">
        <v>1570</v>
      </c>
      <c r="C19" s="310"/>
      <c r="D19" s="310"/>
      <c r="E19" s="294" t="str">
        <f>IF(D19=$B$89,1,IF(D19=$C$89,0.5,IF(D19=$D$89,0,"")))</f>
        <v/>
      </c>
      <c r="F19" s="295" t="s">
        <v>132</v>
      </c>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row>
    <row r="20" spans="1:42" ht="38.25" customHeight="1">
      <c r="A20" s="498" t="s">
        <v>270</v>
      </c>
      <c r="B20" s="352" t="s">
        <v>1571</v>
      </c>
      <c r="C20" s="353"/>
      <c r="D20" s="353"/>
      <c r="E20" s="296" t="str">
        <f>IF(D20=$B$90,2,IF(D20=$C$90,1,IF(D20=$D$90,0,"")))</f>
        <v/>
      </c>
      <c r="F20" s="297" t="s">
        <v>132</v>
      </c>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row>
    <row r="21" spans="1:42" ht="58" customHeight="1" thickBot="1">
      <c r="A21" s="298" t="s">
        <v>271</v>
      </c>
      <c r="B21" s="206" t="s">
        <v>1572</v>
      </c>
      <c r="C21" s="354"/>
      <c r="D21" s="354"/>
      <c r="E21" s="301" t="str">
        <f>IF(D21=B91,1,IF(D21=C91,0.5,IF(D21=D91,0,"")))</f>
        <v/>
      </c>
      <c r="F21" s="299" t="s">
        <v>132</v>
      </c>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row>
    <row r="22" spans="1:42" ht="25" customHeight="1">
      <c r="A22" s="169"/>
      <c r="B22" s="144"/>
      <c r="C22" s="22"/>
      <c r="D22" s="22"/>
      <c r="E22" s="151"/>
      <c r="F22" s="151"/>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row>
    <row r="23" spans="1:42" ht="25" customHeight="1" thickBot="1">
      <c r="A23" s="138" t="s">
        <v>272</v>
      </c>
      <c r="B23" s="139"/>
      <c r="C23" s="139"/>
      <c r="D23" s="139"/>
      <c r="E23" s="150"/>
      <c r="F23" s="150"/>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row>
    <row r="24" spans="1:42" ht="40" customHeight="1">
      <c r="A24" s="273" t="s">
        <v>7</v>
      </c>
      <c r="B24" s="291" t="s">
        <v>127</v>
      </c>
      <c r="C24" s="291" t="s">
        <v>140</v>
      </c>
      <c r="D24" s="291" t="s">
        <v>141</v>
      </c>
      <c r="E24" s="291" t="s">
        <v>142</v>
      </c>
      <c r="F24" s="348" t="s">
        <v>126</v>
      </c>
      <c r="G24" s="22"/>
      <c r="H24" s="22"/>
      <c r="I24" s="22"/>
      <c r="J24" s="22"/>
      <c r="K24" s="22"/>
      <c r="L24" s="22"/>
      <c r="M24" s="31"/>
      <c r="N24" s="31"/>
      <c r="O24" s="31"/>
      <c r="P24" s="31"/>
      <c r="Q24" s="31"/>
      <c r="R24" s="31"/>
      <c r="S24" s="31"/>
      <c r="T24" s="31"/>
      <c r="U24" s="31"/>
      <c r="V24" s="31"/>
      <c r="W24" s="31"/>
      <c r="X24" s="31"/>
      <c r="Y24" s="31"/>
      <c r="Z24" s="31"/>
      <c r="AA24" s="31"/>
      <c r="AB24" s="31"/>
      <c r="AC24" s="31"/>
      <c r="AD24" s="31"/>
      <c r="AE24" s="31"/>
      <c r="AF24" s="31"/>
      <c r="AG24" s="31"/>
    </row>
    <row r="25" spans="1:42" ht="55" customHeight="1">
      <c r="A25" s="293" t="s">
        <v>273</v>
      </c>
      <c r="B25" s="251" t="s">
        <v>274</v>
      </c>
      <c r="C25" s="310"/>
      <c r="D25" s="310"/>
      <c r="E25" s="294" t="str">
        <f>IF(D25=B93,1,IF(D25=C93,0,""))</f>
        <v/>
      </c>
      <c r="F25" s="297" t="s">
        <v>132</v>
      </c>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row>
    <row r="26" spans="1:42" ht="55" customHeight="1">
      <c r="A26" s="293" t="s">
        <v>275</v>
      </c>
      <c r="B26" s="251" t="s">
        <v>276</v>
      </c>
      <c r="C26" s="310"/>
      <c r="D26" s="310"/>
      <c r="E26" s="294" t="str">
        <f>IF(D26=B94,1,IF(D26=C94,0,IF(D26=D94,0,"")))</f>
        <v/>
      </c>
      <c r="F26" s="297" t="s">
        <v>132</v>
      </c>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row>
    <row r="27" spans="1:42" ht="73" customHeight="1" thickBot="1">
      <c r="A27" s="336" t="s">
        <v>277</v>
      </c>
      <c r="B27" s="206" t="s">
        <v>278</v>
      </c>
      <c r="C27" s="354"/>
      <c r="D27" s="354"/>
      <c r="E27" s="301" t="str">
        <f>IF(D27=B95,1,IF(D27=C95,0.5,IF(D27=D95,0,"")))</f>
        <v/>
      </c>
      <c r="F27" s="299" t="s">
        <v>132</v>
      </c>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row>
    <row r="28" spans="1:42" ht="25" customHeight="1">
      <c r="A28" s="143"/>
      <c r="B28" s="143"/>
      <c r="C28" s="29"/>
      <c r="D28" s="29"/>
      <c r="E28" s="143"/>
      <c r="F28" s="143"/>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row>
    <row r="29" spans="1:42" s="22" customFormat="1" ht="25" customHeight="1" thickBot="1">
      <c r="A29" s="138" t="s">
        <v>258</v>
      </c>
      <c r="B29" s="139"/>
      <c r="C29" s="21"/>
      <c r="D29" s="21"/>
      <c r="E29" s="150"/>
      <c r="F29" s="150"/>
      <c r="J29" s="116"/>
      <c r="K29" s="96"/>
    </row>
    <row r="30" spans="1:42" ht="40" customHeight="1">
      <c r="A30" s="273" t="s">
        <v>7</v>
      </c>
      <c r="B30" s="291" t="s">
        <v>127</v>
      </c>
      <c r="C30" s="291" t="s">
        <v>140</v>
      </c>
      <c r="D30" s="291" t="s">
        <v>141</v>
      </c>
      <c r="E30" s="291" t="s">
        <v>142</v>
      </c>
      <c r="F30" s="348" t="s">
        <v>126</v>
      </c>
      <c r="G30" s="22"/>
      <c r="H30" s="22"/>
      <c r="I30" s="22"/>
      <c r="J30" s="22"/>
      <c r="K30" s="22"/>
      <c r="L30" s="22"/>
      <c r="M30" s="31"/>
      <c r="N30" s="31"/>
      <c r="O30" s="31"/>
      <c r="P30" s="31"/>
      <c r="Q30" s="31"/>
      <c r="R30" s="31"/>
      <c r="S30" s="31"/>
      <c r="T30" s="31"/>
      <c r="U30" s="31"/>
      <c r="V30" s="31"/>
      <c r="W30" s="31"/>
      <c r="X30" s="31"/>
      <c r="Y30" s="31"/>
      <c r="Z30" s="31"/>
      <c r="AA30" s="31"/>
      <c r="AB30" s="31"/>
      <c r="AC30" s="31"/>
      <c r="AD30" s="31"/>
      <c r="AE30" s="31"/>
      <c r="AF30" s="31"/>
      <c r="AG30" s="31"/>
    </row>
    <row r="31" spans="1:42" ht="77.5" customHeight="1">
      <c r="A31" s="307" t="s">
        <v>279</v>
      </c>
      <c r="B31" s="349" t="s">
        <v>280</v>
      </c>
      <c r="C31" s="310"/>
      <c r="D31" s="355"/>
      <c r="E31" s="468">
        <f>IF(D31=B98,1,IF(D31=C98,0.5,IF(D31=D98,0,"")))</f>
        <v>0</v>
      </c>
      <c r="F31" s="295" t="s">
        <v>132</v>
      </c>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row>
    <row r="32" spans="1:42" ht="77.5" customHeight="1">
      <c r="A32" s="307" t="s">
        <v>281</v>
      </c>
      <c r="B32" s="349" t="s">
        <v>280</v>
      </c>
      <c r="C32" s="356"/>
      <c r="D32" s="357"/>
      <c r="E32" s="468">
        <f>IF(D32=B98,1,IF(D32=C98,0.5,IF(D32=D98,0,"")))</f>
        <v>0</v>
      </c>
      <c r="F32" s="337" t="s">
        <v>132</v>
      </c>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row>
    <row r="33" spans="1:42" ht="41.25" customHeight="1">
      <c r="A33" s="500" t="str">
        <f>IF(D12=B81,"Multifamily benchmarking","Not applicable")</f>
        <v>Not applicable</v>
      </c>
      <c r="B33" s="350" t="str">
        <f>IF(D12=B81,"Does your city require multifamily buildings to benchmark and disclose energy usage annually?", "Not applicable")</f>
        <v>Not applicable</v>
      </c>
      <c r="C33" s="358"/>
      <c r="D33" s="356"/>
      <c r="E33" s="304" t="str">
        <f>IF(D33=$B$100,1,IF(D33=$C$100,0,""))</f>
        <v/>
      </c>
      <c r="F33" s="338" t="s">
        <v>132</v>
      </c>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row>
    <row r="34" spans="1:42" s="22" customFormat="1" ht="39.75" customHeight="1">
      <c r="A34" s="498" t="str">
        <f>IF(D13=B81,"Commercial benchmarking","Not applicable")</f>
        <v>Not applicable</v>
      </c>
      <c r="B34" s="251" t="str">
        <f>IF(D13=B81,"Does your city require commercial buildings to benchmark and disclose energy usage annually?","Not applicable")</f>
        <v>Not applicable</v>
      </c>
      <c r="C34" s="359"/>
      <c r="D34" s="360"/>
      <c r="E34" s="294" t="str">
        <f>IF(D34=$B$101,1,IF(D34=$C$101,0,""))</f>
        <v/>
      </c>
      <c r="F34" s="339" t="s">
        <v>132</v>
      </c>
    </row>
    <row r="35" spans="1:42" s="22" customFormat="1" ht="57" customHeight="1">
      <c r="A35" s="293" t="s">
        <v>282</v>
      </c>
      <c r="B35" s="251" t="s">
        <v>283</v>
      </c>
      <c r="C35" s="310"/>
      <c r="D35" s="360"/>
      <c r="E35" s="294" t="str">
        <f>IF(D35=$B$102,1,IF(D35=$C$102,0,""))</f>
        <v/>
      </c>
      <c r="F35" s="339" t="s">
        <v>132</v>
      </c>
    </row>
    <row r="36" spans="1:42" ht="35.5" customHeight="1">
      <c r="A36" s="293" t="str">
        <f>IFERROR(IF(E33+E34+E35&lt;5,"Compliance rate bonus","Not applicable"),"Not applicable")</f>
        <v>Not applicable</v>
      </c>
      <c r="B36" s="251" t="str">
        <f>IF(A36="Compliance rate bonus","What is your benchmarking policy's compliance rate?","Not applicable")</f>
        <v>Not applicable</v>
      </c>
      <c r="C36" s="310"/>
      <c r="D36" s="360"/>
      <c r="E36" s="294" t="str">
        <f>IFERROR(IF(D36=$B$103,0.5,IF(D36=$C$103,0,"")),"")</f>
        <v/>
      </c>
      <c r="F36" s="339" t="s">
        <v>132</v>
      </c>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I36" s="22"/>
      <c r="AJ36" s="22"/>
      <c r="AK36" s="22"/>
      <c r="AL36" s="22"/>
      <c r="AM36" s="22"/>
      <c r="AN36" s="22"/>
      <c r="AO36" s="22"/>
      <c r="AP36" s="22"/>
    </row>
    <row r="37" spans="1:42" ht="44.5" customHeight="1">
      <c r="A37" s="499" t="s">
        <v>284</v>
      </c>
      <c r="B37" s="350" t="s">
        <v>1562</v>
      </c>
      <c r="C37" s="356"/>
      <c r="D37" s="356"/>
      <c r="E37" s="304" t="str">
        <f>IF(D37=B105,1,IF(D37=C105,0,IF(D37=D105,"","")))</f>
        <v/>
      </c>
      <c r="F37" s="340" t="s">
        <v>132</v>
      </c>
      <c r="G37" s="22"/>
      <c r="H37" s="22"/>
      <c r="I37" s="96"/>
      <c r="J37" s="96"/>
      <c r="K37" s="96"/>
      <c r="L37" s="96"/>
      <c r="M37" s="96"/>
      <c r="N37" s="96"/>
      <c r="O37" s="96"/>
      <c r="P37" s="96"/>
      <c r="Q37" s="96"/>
      <c r="R37" s="96"/>
      <c r="S37" s="96"/>
      <c r="T37" s="96"/>
      <c r="U37" s="96"/>
      <c r="V37" s="22"/>
      <c r="W37" s="22"/>
      <c r="X37" s="22"/>
      <c r="Y37" s="22"/>
      <c r="Z37" s="22"/>
      <c r="AA37" s="22"/>
      <c r="AB37" s="22"/>
      <c r="AC37" s="22"/>
      <c r="AD37" s="22"/>
      <c r="AE37" s="22"/>
      <c r="AF37" s="22"/>
      <c r="AG37" s="22"/>
      <c r="AH37" s="22"/>
      <c r="AI37" s="22"/>
      <c r="AJ37" s="22"/>
      <c r="AK37" s="22"/>
      <c r="AL37" s="22"/>
      <c r="AM37" s="22"/>
      <c r="AN37" s="22"/>
      <c r="AO37" s="22"/>
      <c r="AP37" s="22"/>
    </row>
    <row r="38" spans="1:42" ht="40.5" customHeight="1">
      <c r="A38" s="293" t="s">
        <v>285</v>
      </c>
      <c r="B38" s="251" t="s">
        <v>286</v>
      </c>
      <c r="C38" s="310"/>
      <c r="D38" s="310"/>
      <c r="E38" s="294" t="str">
        <f>IF(D38=B106,1,IF(D38=C106,0.5,IF(D38=D106,0,"")))</f>
        <v/>
      </c>
      <c r="F38" s="341" t="s">
        <v>132</v>
      </c>
      <c r="G38" s="22"/>
      <c r="H38" s="22"/>
      <c r="I38" s="96"/>
      <c r="J38" s="96"/>
      <c r="K38" s="96"/>
      <c r="L38" s="96"/>
      <c r="M38" s="96"/>
      <c r="N38" s="96"/>
      <c r="O38" s="96"/>
      <c r="P38" s="96"/>
      <c r="Q38" s="96"/>
      <c r="R38" s="96"/>
      <c r="S38" s="96"/>
      <c r="T38" s="96"/>
      <c r="U38" s="96"/>
      <c r="V38" s="22"/>
      <c r="W38" s="22"/>
      <c r="X38" s="22"/>
      <c r="Y38" s="22"/>
      <c r="Z38" s="22"/>
      <c r="AA38" s="22"/>
      <c r="AB38" s="22"/>
      <c r="AC38" s="22"/>
      <c r="AD38" s="22"/>
      <c r="AE38" s="22"/>
      <c r="AF38" s="22"/>
      <c r="AG38" s="22"/>
      <c r="AH38" s="22"/>
      <c r="AI38" s="22"/>
      <c r="AJ38" s="22"/>
      <c r="AK38" s="22"/>
      <c r="AL38" s="22"/>
      <c r="AM38" s="22"/>
      <c r="AN38" s="22"/>
      <c r="AO38" s="22"/>
      <c r="AP38" s="22"/>
    </row>
    <row r="39" spans="1:42" s="22" customFormat="1" ht="45" customHeight="1">
      <c r="A39" s="293" t="s">
        <v>287</v>
      </c>
      <c r="B39" s="251" t="s">
        <v>288</v>
      </c>
      <c r="C39" s="310"/>
      <c r="D39" s="310"/>
      <c r="E39" s="294" t="str">
        <f>IF(D39=B107,3,IF(D39=C107,1.5,IF(D39=D107,0,"")))</f>
        <v/>
      </c>
      <c r="F39" s="341" t="s">
        <v>132</v>
      </c>
      <c r="I39" s="96"/>
      <c r="J39" s="96"/>
      <c r="K39" s="96"/>
      <c r="L39" s="96"/>
      <c r="M39" s="96"/>
      <c r="N39" s="96"/>
      <c r="O39" s="96"/>
      <c r="P39" s="96"/>
      <c r="Q39" s="96"/>
      <c r="R39" s="96"/>
      <c r="S39" s="96"/>
      <c r="T39" s="96"/>
      <c r="U39" s="96"/>
    </row>
    <row r="40" spans="1:42" s="22" customFormat="1" ht="40.5" customHeight="1">
      <c r="A40" s="342" t="s">
        <v>45</v>
      </c>
      <c r="B40" s="251" t="s">
        <v>289</v>
      </c>
      <c r="C40" s="310"/>
      <c r="D40" s="310"/>
      <c r="E40" s="294" t="str">
        <f>IF(D40=B108,3,IF(D40=C108,1.5,IF(D40=D108,0,"")))</f>
        <v/>
      </c>
      <c r="F40" s="341" t="s">
        <v>132</v>
      </c>
      <c r="I40" s="96"/>
      <c r="J40" s="96"/>
      <c r="K40" s="96"/>
      <c r="L40" s="96"/>
      <c r="M40" s="96"/>
      <c r="N40" s="96"/>
      <c r="O40" s="96"/>
      <c r="P40" s="96"/>
      <c r="Q40" s="96"/>
      <c r="R40" s="96"/>
      <c r="S40" s="96"/>
      <c r="T40" s="96"/>
      <c r="U40" s="96"/>
    </row>
    <row r="41" spans="1:42" s="22" customFormat="1" ht="42.75" customHeight="1">
      <c r="A41" s="343" t="s">
        <v>41</v>
      </c>
      <c r="B41" s="251" t="s">
        <v>290</v>
      </c>
      <c r="C41" s="310"/>
      <c r="D41" s="310"/>
      <c r="E41" s="294" t="str">
        <f>IF(D41=B109,4.5,IF(D41=C109,3,IF(D41=D109,1.5,IF(D41=E109,0,""))))</f>
        <v/>
      </c>
      <c r="F41" s="339" t="s">
        <v>132</v>
      </c>
      <c r="I41" s="96"/>
      <c r="J41" s="96"/>
      <c r="K41" s="96"/>
      <c r="L41" s="96"/>
      <c r="M41" s="96"/>
      <c r="N41" s="96"/>
      <c r="O41" s="96"/>
      <c r="P41" s="96"/>
      <c r="Q41" s="96"/>
      <c r="R41" s="96"/>
      <c r="S41" s="96"/>
      <c r="T41" s="96"/>
      <c r="U41" s="96"/>
    </row>
    <row r="42" spans="1:42" s="22" customFormat="1" ht="84.75" customHeight="1">
      <c r="A42" s="343" t="s">
        <v>291</v>
      </c>
      <c r="B42" s="251" t="s">
        <v>292</v>
      </c>
      <c r="C42" s="310"/>
      <c r="D42" s="310"/>
      <c r="E42" s="493" t="str">
        <f>IF(D42=B110,2,IF(D42=C110,1,IF(D42=D110,0,"")))</f>
        <v/>
      </c>
      <c r="F42" s="339" t="s">
        <v>132</v>
      </c>
      <c r="I42" s="96"/>
      <c r="J42" s="96"/>
      <c r="K42" s="96"/>
      <c r="L42" s="96"/>
      <c r="M42" s="96"/>
      <c r="N42" s="96"/>
      <c r="O42" s="96"/>
      <c r="P42" s="96"/>
      <c r="Q42" s="96"/>
      <c r="R42" s="96"/>
      <c r="S42" s="96"/>
      <c r="T42" s="96"/>
      <c r="U42" s="96"/>
    </row>
    <row r="43" spans="1:42" s="22" customFormat="1" ht="52.5" customHeight="1">
      <c r="A43" s="343" t="s">
        <v>293</v>
      </c>
      <c r="B43" s="251" t="s">
        <v>294</v>
      </c>
      <c r="C43" s="310"/>
      <c r="D43" s="310"/>
      <c r="E43" s="294" t="str">
        <f>IF(D43=B111,2,IF(D43=C111,1,IF(D43=D111,0,"")))</f>
        <v/>
      </c>
      <c r="F43" s="339" t="s">
        <v>132</v>
      </c>
      <c r="I43" s="96"/>
      <c r="J43" s="96"/>
      <c r="K43" s="96"/>
      <c r="L43" s="96"/>
      <c r="M43" s="96"/>
      <c r="N43" s="96"/>
      <c r="O43" s="96"/>
      <c r="P43" s="96"/>
      <c r="Q43" s="96"/>
      <c r="R43" s="96"/>
      <c r="S43" s="96"/>
      <c r="T43" s="96"/>
      <c r="U43" s="96"/>
    </row>
    <row r="44" spans="1:42" s="22" customFormat="1" ht="46.5">
      <c r="A44" s="344" t="s">
        <v>295</v>
      </c>
      <c r="B44" s="251" t="s">
        <v>296</v>
      </c>
      <c r="C44" s="361"/>
      <c r="D44" s="310"/>
      <c r="E44" s="469">
        <f>IF(AND(D12=B81,D44=B112),0.5,IF(AND(D12=C81,D44=B112),1,0))</f>
        <v>0</v>
      </c>
      <c r="F44" s="339" t="s">
        <v>132</v>
      </c>
      <c r="I44" s="96"/>
      <c r="J44" s="96"/>
      <c r="K44" s="96"/>
      <c r="L44" s="96"/>
      <c r="M44" s="96"/>
      <c r="N44" s="96"/>
      <c r="O44" s="96"/>
      <c r="P44" s="96"/>
      <c r="Q44" s="96"/>
      <c r="R44" s="96"/>
      <c r="S44" s="96"/>
      <c r="T44" s="96"/>
      <c r="U44" s="96"/>
    </row>
    <row r="45" spans="1:42" s="22" customFormat="1" ht="84.5" customHeight="1">
      <c r="A45" s="307" t="s">
        <v>297</v>
      </c>
      <c r="B45" s="251" t="s">
        <v>1563</v>
      </c>
      <c r="C45" s="310"/>
      <c r="D45" s="310"/>
      <c r="E45" s="294" t="str">
        <f>IF(D45=B113,1.5,IF(D45=C113,0,IF(D45=D113,0,"")))</f>
        <v/>
      </c>
      <c r="F45" s="339" t="s">
        <v>132</v>
      </c>
      <c r="I45" s="96"/>
      <c r="J45" s="96"/>
      <c r="K45" s="96"/>
      <c r="L45" s="96"/>
      <c r="M45" s="96"/>
      <c r="N45" s="96"/>
      <c r="O45" s="96"/>
      <c r="P45" s="96"/>
      <c r="Q45" s="96"/>
      <c r="R45" s="96"/>
      <c r="S45" s="96"/>
      <c r="T45" s="96"/>
      <c r="U45" s="96"/>
    </row>
    <row r="46" spans="1:42" s="22" customFormat="1" ht="41.25" customHeight="1">
      <c r="A46" s="307" t="s">
        <v>298</v>
      </c>
      <c r="B46" s="251" t="s">
        <v>299</v>
      </c>
      <c r="C46" s="310"/>
      <c r="D46" s="310"/>
      <c r="E46" s="294" t="str">
        <f>IF(D46=B114,1,IF(D46=C114,0,""))</f>
        <v/>
      </c>
      <c r="F46" s="339" t="s">
        <v>132</v>
      </c>
      <c r="I46" s="96"/>
      <c r="J46" s="96"/>
      <c r="K46" s="96"/>
      <c r="L46" s="96"/>
      <c r="M46" s="96"/>
      <c r="N46" s="96"/>
      <c r="O46" s="96"/>
      <c r="P46" s="96"/>
      <c r="Q46" s="96"/>
      <c r="R46" s="96"/>
      <c r="S46" s="96"/>
      <c r="T46" s="96"/>
      <c r="U46" s="96"/>
    </row>
    <row r="47" spans="1:42" s="22" customFormat="1" ht="70.5" customHeight="1">
      <c r="A47" s="307" t="s">
        <v>300</v>
      </c>
      <c r="B47" s="251" t="s">
        <v>301</v>
      </c>
      <c r="C47" s="310"/>
      <c r="D47" s="310"/>
      <c r="E47" s="470">
        <f>IF(D47=B115,1,IF(D47=C115,0.5,IF(D47=D115,0,"")))</f>
        <v>0</v>
      </c>
      <c r="F47" s="339" t="s">
        <v>132</v>
      </c>
      <c r="I47" s="96"/>
      <c r="J47" s="96"/>
      <c r="K47" s="96"/>
      <c r="L47" s="96"/>
      <c r="M47" s="96"/>
      <c r="N47" s="96"/>
      <c r="O47" s="96"/>
      <c r="P47" s="96"/>
      <c r="Q47" s="96"/>
      <c r="R47" s="96"/>
      <c r="S47" s="96"/>
      <c r="T47" s="96"/>
      <c r="U47" s="96"/>
    </row>
    <row r="48" spans="1:42" s="22" customFormat="1" ht="60.75" customHeight="1" thickBot="1">
      <c r="A48" s="345" t="s">
        <v>302</v>
      </c>
      <c r="B48" s="206" t="s">
        <v>1590</v>
      </c>
      <c r="C48" s="354"/>
      <c r="D48" s="362"/>
      <c r="E48" s="301" t="str">
        <f>IF(D48=B116,0.5,IF(D48=C116,0,""))</f>
        <v/>
      </c>
      <c r="F48" s="346" t="s">
        <v>132</v>
      </c>
      <c r="I48" s="96"/>
      <c r="J48" s="96"/>
      <c r="K48" s="96"/>
      <c r="L48" s="96"/>
      <c r="M48" s="96"/>
      <c r="N48" s="96"/>
      <c r="O48" s="96"/>
      <c r="P48" s="96"/>
      <c r="Q48" s="96"/>
      <c r="R48" s="96"/>
      <c r="S48" s="96"/>
      <c r="T48" s="96"/>
      <c r="U48" s="96"/>
    </row>
    <row r="49" spans="1:42" s="22" customFormat="1" ht="25" customHeight="1">
      <c r="A49" s="144"/>
      <c r="B49" s="144"/>
      <c r="E49" s="144"/>
      <c r="F49" s="144"/>
      <c r="I49" s="96"/>
      <c r="J49" s="96"/>
      <c r="K49" s="96"/>
      <c r="L49" s="96"/>
      <c r="M49" s="96"/>
      <c r="N49" s="96"/>
      <c r="O49" s="96"/>
      <c r="P49" s="96"/>
      <c r="Q49" s="96"/>
      <c r="R49" s="96"/>
      <c r="S49" s="96"/>
      <c r="T49" s="96"/>
      <c r="U49" s="96"/>
    </row>
    <row r="50" spans="1:42" s="22" customFormat="1" ht="25" customHeight="1" thickBot="1">
      <c r="A50" s="138" t="s">
        <v>259</v>
      </c>
      <c r="B50" s="139"/>
      <c r="C50" s="139"/>
      <c r="D50" s="139"/>
      <c r="E50" s="139"/>
      <c r="F50" s="139"/>
      <c r="I50" s="96"/>
      <c r="J50" s="96"/>
      <c r="K50" s="96"/>
      <c r="L50" s="96"/>
      <c r="M50" s="96"/>
      <c r="N50" s="96"/>
      <c r="O50" s="96"/>
      <c r="P50" s="96"/>
      <c r="Q50" s="96"/>
      <c r="R50" s="96"/>
      <c r="S50" s="96"/>
      <c r="T50" s="96"/>
      <c r="U50" s="96"/>
    </row>
    <row r="51" spans="1:42" ht="40" customHeight="1">
      <c r="A51" s="203" t="s">
        <v>7</v>
      </c>
      <c r="B51" s="136" t="s">
        <v>127</v>
      </c>
      <c r="C51" s="136" t="s">
        <v>303</v>
      </c>
      <c r="D51" s="136" t="s">
        <v>304</v>
      </c>
      <c r="E51" s="136" t="s">
        <v>142</v>
      </c>
      <c r="F51" s="149" t="s">
        <v>126</v>
      </c>
      <c r="G51" s="22"/>
      <c r="H51" s="22"/>
      <c r="I51" s="96"/>
      <c r="J51" s="96"/>
      <c r="K51" s="96"/>
      <c r="L51" s="96"/>
      <c r="M51" s="190"/>
      <c r="N51" s="190"/>
      <c r="O51" s="190"/>
      <c r="P51" s="190"/>
      <c r="Q51" s="190"/>
      <c r="R51" s="190"/>
      <c r="S51" s="190"/>
      <c r="T51" s="190"/>
      <c r="U51" s="190"/>
      <c r="V51" s="31"/>
      <c r="W51" s="31"/>
      <c r="X51" s="31"/>
      <c r="Y51" s="31"/>
      <c r="Z51" s="31"/>
      <c r="AA51" s="31"/>
      <c r="AB51" s="31"/>
      <c r="AC51" s="31"/>
      <c r="AD51" s="31"/>
      <c r="AE51" s="31"/>
      <c r="AF51" s="31"/>
      <c r="AG51" s="31"/>
    </row>
    <row r="52" spans="1:42" s="22" customFormat="1" ht="89.5" customHeight="1">
      <c r="A52" s="572" t="s">
        <v>57</v>
      </c>
      <c r="B52" s="251" t="s">
        <v>1573</v>
      </c>
      <c r="C52" s="310"/>
      <c r="D52" s="363"/>
      <c r="E52" s="294" t="str">
        <f>IF(D52=B118,0.5,IF(D52=C118,0,""))</f>
        <v/>
      </c>
      <c r="F52" s="347" t="s">
        <v>132</v>
      </c>
      <c r="I52" s="96"/>
      <c r="J52" s="96"/>
      <c r="K52" s="96"/>
      <c r="L52" s="96"/>
      <c r="M52" s="96"/>
      <c r="N52" s="96"/>
      <c r="O52" s="96"/>
      <c r="P52" s="96"/>
      <c r="Q52" s="96"/>
      <c r="R52" s="96"/>
      <c r="S52" s="96"/>
      <c r="T52" s="96"/>
      <c r="U52" s="96"/>
    </row>
    <row r="53" spans="1:42" s="22" customFormat="1" ht="75" customHeight="1">
      <c r="A53" s="573"/>
      <c r="B53" s="251" t="s">
        <v>305</v>
      </c>
      <c r="C53" s="353"/>
      <c r="D53" s="364"/>
      <c r="E53" s="296" t="str">
        <f>IF(D53=B119,0.5,IF(D53=C119,0,""))</f>
        <v/>
      </c>
      <c r="F53" s="347" t="s">
        <v>132</v>
      </c>
      <c r="I53" s="96"/>
      <c r="J53" s="96"/>
      <c r="K53" s="96"/>
      <c r="L53" s="96"/>
      <c r="M53" s="96"/>
      <c r="N53" s="96"/>
      <c r="O53" s="96"/>
      <c r="P53" s="96"/>
      <c r="Q53" s="96"/>
      <c r="R53" s="96"/>
      <c r="S53" s="96"/>
      <c r="T53" s="96"/>
      <c r="U53" s="96"/>
    </row>
    <row r="54" spans="1:42" s="22" customFormat="1" ht="88" customHeight="1">
      <c r="A54" s="538" t="s">
        <v>59</v>
      </c>
      <c r="B54" s="251" t="s">
        <v>1574</v>
      </c>
      <c r="C54" s="353"/>
      <c r="D54" s="364"/>
      <c r="E54" s="296" t="str">
        <f>IF(D54=B118,0.5,IF(D54=C118,0,""))</f>
        <v/>
      </c>
      <c r="F54" s="347" t="s">
        <v>132</v>
      </c>
      <c r="I54" s="96"/>
      <c r="J54" s="96"/>
      <c r="K54" s="96"/>
      <c r="L54" s="96"/>
      <c r="M54" s="96"/>
      <c r="N54" s="96"/>
      <c r="O54" s="96"/>
      <c r="P54" s="96"/>
      <c r="Q54" s="96"/>
      <c r="R54" s="96"/>
      <c r="S54" s="96"/>
      <c r="T54" s="96"/>
      <c r="U54" s="96"/>
    </row>
    <row r="55" spans="1:42" s="22" customFormat="1" ht="77.5" customHeight="1" thickBot="1">
      <c r="A55" s="560"/>
      <c r="B55" s="206" t="s">
        <v>306</v>
      </c>
      <c r="C55" s="354"/>
      <c r="D55" s="365"/>
      <c r="E55" s="301" t="str">
        <f>IF(D55=B120,0.5,IF(D55=C120,0,""))</f>
        <v/>
      </c>
      <c r="F55" s="347" t="s">
        <v>132</v>
      </c>
      <c r="I55" s="96"/>
      <c r="J55" s="96"/>
      <c r="K55" s="96"/>
      <c r="L55" s="96"/>
      <c r="M55" s="96"/>
      <c r="N55" s="96"/>
      <c r="O55" s="96"/>
      <c r="P55" s="96"/>
      <c r="Q55" s="96"/>
      <c r="R55" s="96"/>
      <c r="S55" s="96"/>
      <c r="T55" s="96"/>
      <c r="U55" s="96"/>
    </row>
    <row r="56" spans="1:42" s="22" customFormat="1" ht="26.5" customHeight="1">
      <c r="E56" s="151"/>
      <c r="F56" s="151"/>
      <c r="I56" s="96"/>
      <c r="J56" s="96"/>
      <c r="K56" s="96"/>
      <c r="L56" s="96"/>
      <c r="M56" s="96"/>
      <c r="N56" s="96"/>
      <c r="O56" s="96"/>
      <c r="P56" s="96"/>
      <c r="Q56" s="96"/>
      <c r="R56" s="96"/>
      <c r="S56" s="96"/>
      <c r="T56" s="96"/>
      <c r="U56" s="96"/>
    </row>
    <row r="57" spans="1:42" s="22" customFormat="1" ht="25" customHeight="1" thickBot="1">
      <c r="E57" s="151"/>
      <c r="F57" s="151"/>
      <c r="I57" s="96"/>
      <c r="J57" s="96"/>
      <c r="K57" s="96"/>
      <c r="L57" s="96"/>
      <c r="M57" s="96"/>
      <c r="N57" s="96"/>
      <c r="O57" s="96"/>
      <c r="P57" s="96"/>
      <c r="Q57" s="96"/>
      <c r="R57" s="96"/>
      <c r="S57" s="96"/>
      <c r="T57" s="96"/>
      <c r="U57" s="96"/>
    </row>
    <row r="58" spans="1:42" s="22" customFormat="1" ht="30" customHeight="1" thickBot="1">
      <c r="C58"/>
      <c r="D58" s="497" t="s">
        <v>175</v>
      </c>
      <c r="E58" s="492">
        <f>SUM(E16:E21,E25:E27,E52:E55)+IF(SUM(E31:E44)&gt;=12,12,SUM(E31:E44))+IF(SUM(E45:E48)&gt;=3,3,SUM(E45:E48))</f>
        <v>0</v>
      </c>
      <c r="F58" s="151"/>
      <c r="I58" s="96"/>
      <c r="J58" s="96"/>
      <c r="K58" s="96"/>
      <c r="L58" s="96"/>
      <c r="M58" s="96"/>
      <c r="N58" s="96"/>
      <c r="O58" s="96"/>
      <c r="P58" s="96"/>
      <c r="Q58" s="96"/>
      <c r="R58" s="96"/>
      <c r="S58" s="96"/>
      <c r="T58" s="96"/>
      <c r="U58" s="96"/>
    </row>
    <row r="59" spans="1:42" s="22" customFormat="1">
      <c r="A59" s="140" t="s">
        <v>6</v>
      </c>
      <c r="I59" s="96"/>
      <c r="J59" s="96"/>
      <c r="K59" s="96"/>
      <c r="L59" s="96"/>
      <c r="M59" s="96"/>
      <c r="N59" s="96"/>
      <c r="O59" s="96"/>
      <c r="P59" s="96"/>
      <c r="Q59" s="96"/>
      <c r="R59" s="96"/>
      <c r="S59" s="96"/>
      <c r="T59" s="96"/>
      <c r="U59" s="96"/>
    </row>
    <row r="60" spans="1:42" s="22" customFormat="1">
      <c r="I60" s="96"/>
      <c r="J60" s="96"/>
      <c r="K60" s="96"/>
      <c r="L60" s="96"/>
      <c r="M60" s="96"/>
      <c r="N60" s="96"/>
      <c r="O60" s="96"/>
      <c r="P60" s="96"/>
      <c r="Q60" s="96"/>
      <c r="R60" s="96"/>
      <c r="S60" s="96"/>
      <c r="T60" s="96"/>
      <c r="U60" s="96"/>
    </row>
    <row r="61" spans="1:42" s="22" customFormat="1">
      <c r="I61" s="96"/>
      <c r="J61" s="96"/>
      <c r="K61" s="96"/>
      <c r="L61" s="96"/>
      <c r="M61" s="96"/>
      <c r="N61" s="96"/>
      <c r="O61" s="96"/>
      <c r="P61" s="96"/>
      <c r="Q61" s="96"/>
      <c r="R61" s="96"/>
      <c r="S61" s="96"/>
      <c r="T61" s="96"/>
      <c r="U61" s="96"/>
    </row>
    <row r="62" spans="1:42" s="22" customFormat="1">
      <c r="C62"/>
      <c r="I62" s="96"/>
      <c r="J62" s="96"/>
      <c r="K62" s="96"/>
      <c r="L62" s="96"/>
      <c r="M62" s="96"/>
      <c r="N62" s="96"/>
      <c r="O62" s="96"/>
      <c r="P62" s="96"/>
      <c r="Q62" s="96"/>
      <c r="R62" s="96"/>
      <c r="S62" s="96"/>
      <c r="T62" s="96"/>
      <c r="U62" s="96"/>
    </row>
    <row r="63" spans="1:42" s="22" customFormat="1">
      <c r="I63" s="96"/>
      <c r="J63" s="96"/>
      <c r="K63" s="96"/>
      <c r="L63" s="96"/>
      <c r="M63" s="96"/>
      <c r="N63" s="96"/>
      <c r="O63" s="96"/>
      <c r="P63" s="96"/>
      <c r="Q63" s="96"/>
      <c r="R63" s="96"/>
      <c r="S63" s="96"/>
      <c r="T63" s="96"/>
      <c r="U63" s="96"/>
    </row>
    <row r="64" spans="1:42">
      <c r="A64" s="22"/>
      <c r="B64" s="22"/>
      <c r="C64" s="22"/>
      <c r="D64" s="22"/>
      <c r="E64" s="22"/>
      <c r="F64" s="22"/>
      <c r="G64" s="22"/>
      <c r="H64" s="22"/>
      <c r="I64" s="96"/>
      <c r="J64" s="96"/>
      <c r="K64" s="96"/>
      <c r="L64" s="96"/>
      <c r="M64" s="96"/>
      <c r="N64" s="96"/>
      <c r="O64" s="96"/>
      <c r="P64" s="96"/>
      <c r="Q64" s="96"/>
      <c r="R64" s="96"/>
      <c r="S64" s="96"/>
      <c r="T64" s="96"/>
      <c r="U64" s="96"/>
      <c r="V64" s="22"/>
      <c r="W64" s="22"/>
      <c r="X64" s="22"/>
      <c r="Y64" s="22"/>
      <c r="Z64" s="22"/>
      <c r="AA64" s="22"/>
      <c r="AB64" s="22"/>
      <c r="AC64" s="22"/>
      <c r="AD64" s="22"/>
      <c r="AE64" s="22"/>
      <c r="AF64" s="22"/>
      <c r="AG64" s="22"/>
      <c r="AH64" s="22"/>
      <c r="AI64" s="22"/>
      <c r="AJ64" s="22"/>
      <c r="AK64" s="22"/>
      <c r="AL64" s="22"/>
      <c r="AM64" s="22"/>
      <c r="AN64" s="22"/>
      <c r="AO64" s="22"/>
      <c r="AP64" s="22"/>
    </row>
    <row r="65" spans="1:42" s="22" customFormat="1">
      <c r="I65" s="96"/>
      <c r="J65" s="96"/>
      <c r="K65" s="96"/>
      <c r="L65" s="96"/>
      <c r="M65" s="96"/>
      <c r="N65" s="96"/>
      <c r="O65" s="96"/>
      <c r="P65" s="96"/>
      <c r="Q65" s="96"/>
      <c r="R65" s="96"/>
      <c r="S65" s="96"/>
      <c r="T65" s="96"/>
      <c r="U65" s="96"/>
    </row>
    <row r="66" spans="1:42" s="22" customFormat="1">
      <c r="I66" s="96"/>
      <c r="J66" s="96"/>
      <c r="K66" s="96"/>
      <c r="L66" s="96"/>
      <c r="M66" s="96"/>
      <c r="N66" s="96"/>
      <c r="O66" s="96"/>
      <c r="P66" s="96"/>
      <c r="Q66" s="96"/>
      <c r="R66" s="96"/>
      <c r="S66" s="96"/>
      <c r="T66" s="96"/>
      <c r="U66" s="96"/>
    </row>
    <row r="67" spans="1:42" s="22" customFormat="1"/>
    <row r="68" spans="1:42">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row>
    <row r="69" spans="1:42" s="22" customFormat="1"/>
    <row r="70" spans="1:42" s="22" customFormat="1"/>
    <row r="71" spans="1:42" s="22" customFormat="1"/>
    <row r="72" spans="1:42" s="22" customFormat="1"/>
    <row r="73" spans="1:42" s="22" customFormat="1" ht="20.5" customHeight="1"/>
    <row r="74" spans="1:42" s="22" customFormat="1" ht="15.75" customHeight="1"/>
    <row r="75" spans="1:42" s="22" customFormat="1" ht="20.5" customHeight="1"/>
    <row r="76" spans="1:42" s="22" customFormat="1" hidden="1">
      <c r="A76" s="41" t="s">
        <v>176</v>
      </c>
      <c r="C76" s="29"/>
    </row>
    <row r="77" spans="1:42" s="22" customFormat="1"/>
    <row r="78" spans="1:42" s="22" customFormat="1" ht="91" hidden="1" customHeight="1">
      <c r="A78" s="41" t="s">
        <v>178</v>
      </c>
      <c r="B78" s="41" t="s">
        <v>179</v>
      </c>
      <c r="C78" s="41" t="s">
        <v>180</v>
      </c>
      <c r="D78" s="41" t="s">
        <v>181</v>
      </c>
      <c r="E78" s="41" t="s">
        <v>182</v>
      </c>
    </row>
    <row r="79" spans="1:42" s="22" customFormat="1" ht="18.75" hidden="1" customHeight="1">
      <c r="A79" s="94"/>
      <c r="B79" s="94"/>
      <c r="C79" s="94"/>
      <c r="D79" s="94"/>
      <c r="E79" s="94"/>
      <c r="F79" s="94"/>
    </row>
    <row r="80" spans="1:42" s="22" customFormat="1" hidden="1">
      <c r="A80" s="120" t="s">
        <v>307</v>
      </c>
      <c r="B80" s="121" t="s">
        <v>308</v>
      </c>
      <c r="C80" s="121" t="s">
        <v>309</v>
      </c>
      <c r="D80" s="121" t="s">
        <v>310</v>
      </c>
      <c r="E80" s="94"/>
      <c r="F80" s="94"/>
    </row>
    <row r="81" spans="1:42" s="22" customFormat="1" hidden="1">
      <c r="A81" s="196" t="s">
        <v>311</v>
      </c>
      <c r="B81" s="128" t="s">
        <v>312</v>
      </c>
      <c r="C81" s="128" t="s">
        <v>313</v>
      </c>
      <c r="D81" s="121"/>
      <c r="E81" s="94"/>
      <c r="F81" s="94"/>
    </row>
    <row r="82" spans="1:42" s="22" customFormat="1" ht="15" hidden="1" thickBot="1">
      <c r="A82" s="120"/>
      <c r="B82" s="128"/>
      <c r="C82" s="128"/>
      <c r="D82" s="94"/>
      <c r="E82" s="94"/>
      <c r="F82" s="94"/>
    </row>
    <row r="83" spans="1:42" s="22" customFormat="1" ht="15" hidden="1" thickBot="1">
      <c r="A83" s="120"/>
      <c r="B83" s="128"/>
      <c r="C83" s="129"/>
      <c r="D83" s="94"/>
      <c r="E83" s="94"/>
      <c r="F83" s="94"/>
    </row>
    <row r="84" spans="1:42" s="22" customFormat="1" hidden="1">
      <c r="A84" s="120" t="s">
        <v>314</v>
      </c>
      <c r="B84" s="121"/>
      <c r="C84" s="121"/>
      <c r="D84" s="94"/>
      <c r="E84" s="94"/>
      <c r="F84" s="94"/>
    </row>
    <row r="85" spans="1:42" s="22" customFormat="1" ht="15" hidden="1" thickBot="1">
      <c r="A85" s="196" t="s">
        <v>315</v>
      </c>
      <c r="B85" s="248" t="s">
        <v>316</v>
      </c>
      <c r="C85" s="248" t="s">
        <v>317</v>
      </c>
      <c r="D85" s="248" t="s">
        <v>318</v>
      </c>
      <c r="E85" s="248" t="s">
        <v>319</v>
      </c>
      <c r="F85" s="94"/>
    </row>
    <row r="86" spans="1:42" s="22" customFormat="1" ht="15" hidden="1" thickBot="1">
      <c r="A86" s="196" t="s">
        <v>320</v>
      </c>
      <c r="B86" s="249" t="s">
        <v>321</v>
      </c>
      <c r="C86" s="249" t="s">
        <v>322</v>
      </c>
      <c r="D86" s="248" t="s">
        <v>323</v>
      </c>
      <c r="E86" s="248" t="s">
        <v>324</v>
      </c>
      <c r="F86" s="94"/>
    </row>
    <row r="87" spans="1:42" s="22" customFormat="1" hidden="1">
      <c r="A87" s="196" t="s">
        <v>325</v>
      </c>
      <c r="B87" s="128" t="s">
        <v>326</v>
      </c>
      <c r="C87" s="128" t="s">
        <v>327</v>
      </c>
      <c r="D87" s="128" t="s">
        <v>328</v>
      </c>
      <c r="E87" s="121"/>
      <c r="F87" s="94"/>
    </row>
    <row r="88" spans="1:42" hidden="1">
      <c r="A88" s="196"/>
      <c r="B88" s="122"/>
      <c r="C88" s="122"/>
      <c r="D88" s="121"/>
      <c r="E88" s="121"/>
      <c r="F88" s="94"/>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row>
    <row r="89" spans="1:42" hidden="1">
      <c r="A89" s="196" t="s">
        <v>189</v>
      </c>
      <c r="B89" s="128" t="s">
        <v>329</v>
      </c>
      <c r="C89" s="193" t="s">
        <v>330</v>
      </c>
      <c r="D89" s="193" t="s">
        <v>331</v>
      </c>
      <c r="E89" s="94"/>
      <c r="F89" s="94"/>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row>
    <row r="90" spans="1:42" hidden="1">
      <c r="A90" s="196" t="s">
        <v>195</v>
      </c>
      <c r="B90" s="122" t="s">
        <v>332</v>
      </c>
      <c r="C90" s="122" t="s">
        <v>333</v>
      </c>
      <c r="D90" s="94" t="s">
        <v>334</v>
      </c>
      <c r="E90" s="94"/>
      <c r="F90" s="94"/>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row>
    <row r="91" spans="1:42" hidden="1">
      <c r="A91" s="196" t="s">
        <v>335</v>
      </c>
      <c r="B91" s="193" t="s">
        <v>336</v>
      </c>
      <c r="C91" s="193" t="s">
        <v>337</v>
      </c>
      <c r="D91" s="193" t="s">
        <v>338</v>
      </c>
      <c r="E91" s="94"/>
      <c r="F91" s="94"/>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row>
    <row r="92" spans="1:42" ht="15" hidden="1" thickBot="1">
      <c r="A92" s="120" t="s">
        <v>339</v>
      </c>
      <c r="B92" s="122"/>
      <c r="C92" s="122"/>
      <c r="D92" s="94"/>
      <c r="E92" s="94"/>
      <c r="F92" s="94"/>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row>
    <row r="93" spans="1:42" ht="15" hidden="1" thickBot="1">
      <c r="A93" s="196" t="s">
        <v>204</v>
      </c>
      <c r="B93" s="129" t="s">
        <v>340</v>
      </c>
      <c r="C93" s="128" t="s">
        <v>341</v>
      </c>
      <c r="D93" s="94"/>
      <c r="E93" s="94"/>
      <c r="F93" s="94"/>
      <c r="G93" s="130"/>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row>
    <row r="94" spans="1:42" ht="15" hidden="1" thickBot="1">
      <c r="A94" s="196" t="s">
        <v>342</v>
      </c>
      <c r="B94" s="128" t="s">
        <v>343</v>
      </c>
      <c r="C94" s="129" t="s">
        <v>344</v>
      </c>
      <c r="D94" s="129" t="s">
        <v>345</v>
      </c>
      <c r="E94" s="94"/>
      <c r="F94" s="94"/>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row>
    <row r="95" spans="1:42" hidden="1">
      <c r="A95" s="196" t="s">
        <v>320</v>
      </c>
      <c r="B95" s="121" t="s">
        <v>346</v>
      </c>
      <c r="C95" s="121" t="s">
        <v>347</v>
      </c>
      <c r="D95" s="128" t="s">
        <v>348</v>
      </c>
      <c r="E95" s="94"/>
      <c r="F95" s="94"/>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row>
    <row r="96" spans="1:42" hidden="1">
      <c r="A96" s="120" t="s">
        <v>349</v>
      </c>
      <c r="B96" s="121"/>
      <c r="C96" s="121"/>
      <c r="D96" s="128"/>
      <c r="E96" s="94"/>
      <c r="F96" s="94"/>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row>
    <row r="97" spans="1:42" hidden="1">
      <c r="A97" s="120" t="s">
        <v>350</v>
      </c>
      <c r="B97" s="121"/>
      <c r="C97" s="121"/>
      <c r="D97" s="121"/>
      <c r="E97" s="123"/>
      <c r="F97" s="123"/>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row>
    <row r="98" spans="1:42" hidden="1">
      <c r="A98" s="196" t="s">
        <v>216</v>
      </c>
      <c r="B98" s="232" t="s">
        <v>351</v>
      </c>
      <c r="C98" s="232">
        <v>1</v>
      </c>
      <c r="D98" s="232">
        <v>0</v>
      </c>
      <c r="E98" s="232"/>
      <c r="F98" s="121"/>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row>
    <row r="99" spans="1:42" hidden="1">
      <c r="A99" s="120" t="s">
        <v>352</v>
      </c>
      <c r="B99" s="121"/>
      <c r="C99" s="121"/>
      <c r="D99" s="121"/>
      <c r="E99" s="121"/>
      <c r="F99" s="121"/>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row>
    <row r="100" spans="1:42" hidden="1">
      <c r="A100" s="196" t="s">
        <v>353</v>
      </c>
      <c r="B100" s="193" t="s">
        <v>354</v>
      </c>
      <c r="C100" s="193" t="s">
        <v>355</v>
      </c>
      <c r="E100" s="121"/>
      <c r="F100" s="121"/>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row>
    <row r="101" spans="1:42" hidden="1">
      <c r="A101" s="196" t="s">
        <v>356</v>
      </c>
      <c r="B101" s="193" t="s">
        <v>357</v>
      </c>
      <c r="C101" s="193" t="s">
        <v>358</v>
      </c>
      <c r="E101" s="121"/>
      <c r="F101" s="121"/>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row>
    <row r="102" spans="1:42" hidden="1">
      <c r="A102" s="196" t="s">
        <v>359</v>
      </c>
      <c r="B102" s="121" t="s">
        <v>360</v>
      </c>
      <c r="C102" s="121" t="s">
        <v>361</v>
      </c>
      <c r="D102" s="121"/>
      <c r="E102" s="121"/>
      <c r="F102" s="121"/>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row>
    <row r="103" spans="1:42" hidden="1">
      <c r="A103" s="196" t="s">
        <v>362</v>
      </c>
      <c r="B103" s="232" t="s">
        <v>363</v>
      </c>
      <c r="C103" s="232" t="s">
        <v>364</v>
      </c>
      <c r="D103" s="121"/>
      <c r="E103" s="121"/>
      <c r="F103" s="121"/>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row>
    <row r="104" spans="1:42" hidden="1">
      <c r="A104" s="120" t="s">
        <v>365</v>
      </c>
      <c r="B104" s="94"/>
      <c r="C104" s="94"/>
      <c r="D104" s="94"/>
      <c r="E104" s="94"/>
      <c r="F104" s="94"/>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row>
    <row r="105" spans="1:42" hidden="1">
      <c r="A105" s="196" t="s">
        <v>366</v>
      </c>
      <c r="B105" s="232" t="s">
        <v>367</v>
      </c>
      <c r="C105" s="232" t="s">
        <v>368</v>
      </c>
      <c r="D105" s="94"/>
      <c r="E105" s="94"/>
      <c r="F105" s="94"/>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row>
    <row r="106" spans="1:42" hidden="1">
      <c r="A106" s="196" t="s">
        <v>369</v>
      </c>
      <c r="B106" s="193" t="s">
        <v>370</v>
      </c>
      <c r="C106" s="193" t="s">
        <v>371</v>
      </c>
      <c r="D106" s="193" t="s">
        <v>372</v>
      </c>
      <c r="E106" s="94"/>
      <c r="F106" s="94"/>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row>
    <row r="107" spans="1:42" hidden="1">
      <c r="A107" s="196" t="s">
        <v>373</v>
      </c>
      <c r="B107" s="121" t="s">
        <v>374</v>
      </c>
      <c r="C107" s="121" t="s">
        <v>375</v>
      </c>
      <c r="D107" s="94" t="s">
        <v>376</v>
      </c>
      <c r="E107" s="94"/>
      <c r="F107" s="94"/>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row>
    <row r="108" spans="1:42" hidden="1">
      <c r="A108" s="196" t="s">
        <v>377</v>
      </c>
      <c r="B108" s="193" t="s">
        <v>378</v>
      </c>
      <c r="C108" s="193" t="s">
        <v>379</v>
      </c>
      <c r="D108" s="194" t="s">
        <v>380</v>
      </c>
      <c r="E108" s="94"/>
      <c r="F108" s="94"/>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row>
    <row r="109" spans="1:42" hidden="1">
      <c r="A109" s="196" t="s">
        <v>220</v>
      </c>
      <c r="B109" s="232" t="s">
        <v>381</v>
      </c>
      <c r="C109" s="232" t="s">
        <v>382</v>
      </c>
      <c r="D109" s="234" t="s">
        <v>383</v>
      </c>
      <c r="E109" s="234" t="s">
        <v>384</v>
      </c>
      <c r="F109" s="94"/>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row>
    <row r="110" spans="1:42" hidden="1">
      <c r="A110" s="196" t="s">
        <v>385</v>
      </c>
      <c r="B110" s="121" t="s">
        <v>386</v>
      </c>
      <c r="C110" s="121" t="s">
        <v>387</v>
      </c>
      <c r="D110" s="94" t="s">
        <v>388</v>
      </c>
      <c r="E110" s="94"/>
      <c r="F110" s="94"/>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row>
    <row r="111" spans="1:42" hidden="1">
      <c r="A111" s="196" t="s">
        <v>225</v>
      </c>
      <c r="B111" s="121" t="s">
        <v>1537</v>
      </c>
      <c r="C111" s="121" t="s">
        <v>1538</v>
      </c>
      <c r="D111" s="94" t="s">
        <v>1539</v>
      </c>
      <c r="E111" s="94"/>
      <c r="F111" s="94"/>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row>
    <row r="112" spans="1:42" hidden="1">
      <c r="A112" s="196" t="s">
        <v>230</v>
      </c>
      <c r="B112" s="232" t="s">
        <v>389</v>
      </c>
      <c r="C112" s="232" t="s">
        <v>390</v>
      </c>
      <c r="D112" s="193"/>
      <c r="E112" s="193"/>
      <c r="F112" s="193"/>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row>
    <row r="113" spans="1:42" hidden="1">
      <c r="A113" s="233" t="s">
        <v>385</v>
      </c>
      <c r="B113" s="232" t="s">
        <v>391</v>
      </c>
      <c r="C113" s="232" t="s">
        <v>1540</v>
      </c>
      <c r="D113" s="232" t="s">
        <v>1541</v>
      </c>
      <c r="E113" s="193"/>
      <c r="F113" s="193"/>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row>
    <row r="114" spans="1:42" hidden="1">
      <c r="A114" s="233" t="s">
        <v>225</v>
      </c>
      <c r="B114" s="232" t="s">
        <v>392</v>
      </c>
      <c r="C114" s="232" t="s">
        <v>393</v>
      </c>
      <c r="D114" s="94"/>
      <c r="E114" s="193"/>
      <c r="F114" s="193"/>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row>
    <row r="115" spans="1:42" hidden="1">
      <c r="A115" s="233" t="s">
        <v>230</v>
      </c>
      <c r="B115" s="232" t="s">
        <v>351</v>
      </c>
      <c r="C115" s="232">
        <v>1</v>
      </c>
      <c r="D115" s="232">
        <v>0</v>
      </c>
      <c r="E115" s="193"/>
      <c r="F115" s="193"/>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row>
    <row r="116" spans="1:42" hidden="1">
      <c r="A116" s="233" t="s">
        <v>233</v>
      </c>
      <c r="B116" s="232" t="s">
        <v>394</v>
      </c>
      <c r="C116" s="232" t="s">
        <v>395</v>
      </c>
      <c r="D116" s="193"/>
      <c r="E116" s="193"/>
      <c r="F116" s="193"/>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row>
    <row r="117" spans="1:42" hidden="1">
      <c r="A117" s="124" t="s">
        <v>259</v>
      </c>
      <c r="B117" s="125"/>
      <c r="C117" s="125"/>
      <c r="D117" s="125"/>
      <c r="E117" s="125"/>
      <c r="F117" s="94"/>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row>
    <row r="118" spans="1:42" hidden="1">
      <c r="A118" s="195" t="s">
        <v>396</v>
      </c>
      <c r="B118" s="125" t="s">
        <v>397</v>
      </c>
      <c r="C118" s="125" t="s">
        <v>398</v>
      </c>
      <c r="D118" s="125"/>
      <c r="E118" s="125"/>
      <c r="F118" s="94"/>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row>
    <row r="119" spans="1:42" hidden="1">
      <c r="A119" s="195" t="s">
        <v>399</v>
      </c>
      <c r="B119" s="125" t="s">
        <v>400</v>
      </c>
      <c r="C119" s="125" t="s">
        <v>401</v>
      </c>
      <c r="D119" s="125"/>
      <c r="E119" s="125"/>
      <c r="F119" s="94"/>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row>
    <row r="120" spans="1:42" ht="24.75" hidden="1" customHeight="1">
      <c r="A120" s="22"/>
      <c r="B120" s="125" t="s">
        <v>402</v>
      </c>
      <c r="C120" s="125" t="s">
        <v>403</v>
      </c>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row>
    <row r="121" spans="1:42" ht="9" hidden="1"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row>
    <row r="122" spans="1:42">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row>
    <row r="123" spans="1:42">
      <c r="A123" s="22"/>
      <c r="B123" s="22"/>
      <c r="C123" s="22"/>
      <c r="D123" s="22"/>
      <c r="E123" s="22"/>
      <c r="F123" s="22"/>
      <c r="G123" s="22"/>
      <c r="H123" s="131"/>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row>
    <row r="124" spans="1:42">
      <c r="A124" s="22"/>
      <c r="B124" s="22"/>
      <c r="C124" s="22"/>
      <c r="D124" s="22"/>
      <c r="E124" s="22"/>
      <c r="F124" s="22"/>
      <c r="G124" s="22"/>
      <c r="H124" s="13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row>
    <row r="125" spans="1:42">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row>
    <row r="126" spans="1:42">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row>
    <row r="127" spans="1:42">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row>
    <row r="128" spans="1:42">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row>
    <row r="129" spans="1:42">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row>
    <row r="130" spans="1:42">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row>
    <row r="131" spans="1:42">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row>
    <row r="132" spans="1:42">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row>
    <row r="133" spans="1:42">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row>
    <row r="134" spans="1:42">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row>
    <row r="135" spans="1:42">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row>
    <row r="136" spans="1:42">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row>
    <row r="137" spans="1:42">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row>
    <row r="138" spans="1:42">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row>
    <row r="139" spans="1:42">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row>
    <row r="140" spans="1:42">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row>
    <row r="141" spans="1:42">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row>
    <row r="142" spans="1:42">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row>
    <row r="143" spans="1:42">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row>
    <row r="144" spans="1:42">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row>
    <row r="145" spans="1:30">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row>
    <row r="146" spans="1:30">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row>
    <row r="147" spans="1:30">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row>
    <row r="148" spans="1:30">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row>
    <row r="149" spans="1:30">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row>
    <row r="150" spans="1:30">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row>
    <row r="151" spans="1:30">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row>
    <row r="152" spans="1:30">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row>
    <row r="153" spans="1:30">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row>
    <row r="154" spans="1:30">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row>
    <row r="155" spans="1:30">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row>
    <row r="156" spans="1:30">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row>
    <row r="157" spans="1:30">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row>
    <row r="158" spans="1:30">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row>
    <row r="159" spans="1:30">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row>
    <row r="160" spans="1:30">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row>
    <row r="161" spans="1:30">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row>
    <row r="162" spans="1:30">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row>
    <row r="163" spans="1:30">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row>
    <row r="164" spans="1:30">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row>
    <row r="165" spans="1:30">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row>
    <row r="166" spans="1:30">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row>
    <row r="167" spans="1:30">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row>
    <row r="168" spans="1:30">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row>
    <row r="169" spans="1:30">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row>
    <row r="170" spans="1:30">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row>
    <row r="171" spans="1:30">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row>
    <row r="172" spans="1:30">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row>
    <row r="173" spans="1:30">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row>
    <row r="174" spans="1:30">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row>
    <row r="175" spans="1:30">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row>
    <row r="176" spans="1:30">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row>
    <row r="177" spans="1:30">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row>
    <row r="178" spans="1:30">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row>
    <row r="179" spans="1:30">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row>
    <row r="180" spans="1:30">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row>
    <row r="181" spans="1:30">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row>
    <row r="182" spans="1:30">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row>
    <row r="183" spans="1:30">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row>
    <row r="184" spans="1:30">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row>
    <row r="185" spans="1:30">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row>
    <row r="186" spans="1:30">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row>
    <row r="187" spans="1:30">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row>
    <row r="188" spans="1:30">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row>
    <row r="189" spans="1:30">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row>
    <row r="190" spans="1:30">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row>
    <row r="191" spans="1:30">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row>
  </sheetData>
  <sheetProtection algorithmName="SHA-512" hashValue="e43PpAVaFHRhZBUS0wq/hxlR/yPGKwLvGUxKN5/tnTa/14UMQp7n9JtYV+O/2LE40Go4yS91Myg5zhhqx5nBNw==" saltValue="KqHaPODIBSV2R+EGoigEQw==" spinCount="100000" sheet="1" objects="1" scenarios="1"/>
  <customSheetViews>
    <customSheetView guid="{52A26A5D-FD00-480B-943F-DB06B537D6D8}" scale="90" hiddenRows="1">
      <selection activeCell="C45" sqref="C45"/>
      <pageMargins left="0" right="0" top="0" bottom="0" header="0" footer="0"/>
      <pageSetup scale="47" orientation="landscape" r:id="rId1"/>
    </customSheetView>
    <customSheetView guid="{EF22FA0B-F747-41C1-93DE-56651BBC6020}" scale="90" hiddenRows="1" topLeftCell="A16">
      <selection activeCell="D13" sqref="D13"/>
      <pageMargins left="0" right="0" top="0" bottom="0" header="0" footer="0"/>
      <pageSetup scale="47" orientation="landscape" r:id="rId2"/>
    </customSheetView>
  </customSheetViews>
  <mergeCells count="8">
    <mergeCell ref="A54:A55"/>
    <mergeCell ref="B12:C12"/>
    <mergeCell ref="B13:C13"/>
    <mergeCell ref="A1:F1"/>
    <mergeCell ref="B10:C10"/>
    <mergeCell ref="B11:C11"/>
    <mergeCell ref="B9:D9"/>
    <mergeCell ref="A52:A53"/>
  </mergeCells>
  <dataValidations count="32">
    <dataValidation type="list" allowBlank="1" showInputMessage="1" showErrorMessage="1" sqref="D10:D11" xr:uid="{00000000-0002-0000-0300-000000000000}">
      <formula1>$B$80:$E$80</formula1>
    </dataValidation>
    <dataValidation type="list" allowBlank="1" showInputMessage="1" showErrorMessage="1" sqref="D26" xr:uid="{00000000-0002-0000-0300-000001000000}">
      <formula1>$B$94:$E$94</formula1>
    </dataValidation>
    <dataValidation type="list" allowBlank="1" showInputMessage="1" showErrorMessage="1" sqref="D25" xr:uid="{00000000-0002-0000-0300-000002000000}">
      <formula1>$B$93:$D$93</formula1>
    </dataValidation>
    <dataValidation type="list" allowBlank="1" showInputMessage="1" showErrorMessage="1" sqref="D27" xr:uid="{00000000-0002-0000-0300-000003000000}">
      <formula1>$B$95:$E$95</formula1>
    </dataValidation>
    <dataValidation type="list" allowBlank="1" showInputMessage="1" showErrorMessage="1" sqref="D37" xr:uid="{00000000-0002-0000-0300-000004000000}">
      <formula1>$B$105:$D$105</formula1>
    </dataValidation>
    <dataValidation type="list" allowBlank="1" showInputMessage="1" showErrorMessage="1" sqref="D38" xr:uid="{00000000-0002-0000-0300-000005000000}">
      <formula1>$B$106:$E$106</formula1>
    </dataValidation>
    <dataValidation type="list" allowBlank="1" showInputMessage="1" showErrorMessage="1" sqref="D39" xr:uid="{00000000-0002-0000-0300-000006000000}">
      <formula1>$B$107:$E$107</formula1>
    </dataValidation>
    <dataValidation type="list" allowBlank="1" showInputMessage="1" showErrorMessage="1" sqref="D40" xr:uid="{00000000-0002-0000-0300-000007000000}">
      <formula1>$B$108:$E$108</formula1>
    </dataValidation>
    <dataValidation type="list" allowBlank="1" showInputMessage="1" showErrorMessage="1" sqref="D41" xr:uid="{00000000-0002-0000-0300-000008000000}">
      <formula1>$B$109:$F$109</formula1>
    </dataValidation>
    <dataValidation type="list" allowBlank="1" showInputMessage="1" showErrorMessage="1" sqref="D42" xr:uid="{00000000-0002-0000-0300-000009000000}">
      <formula1>$B$110:$E$110</formula1>
    </dataValidation>
    <dataValidation type="list" allowBlank="1" showInputMessage="1" showErrorMessage="1" sqref="D43" xr:uid="{00000000-0002-0000-0300-00000A000000}">
      <formula1>$B$111:$E$111</formula1>
    </dataValidation>
    <dataValidation type="list" allowBlank="1" showInputMessage="1" showErrorMessage="1" sqref="D35" xr:uid="{00000000-0002-0000-0300-00000E000000}">
      <formula1>$B$102:$D$102</formula1>
    </dataValidation>
    <dataValidation type="list" allowBlank="1" showInputMessage="1" showErrorMessage="1" sqref="D20" xr:uid="{00000000-0002-0000-0300-000011000000}">
      <formula1>$B$90:$E$90</formula1>
    </dataValidation>
    <dataValidation type="list" allowBlank="1" showInputMessage="1" showErrorMessage="1" sqref="D16" xr:uid="{00000000-0002-0000-0300-000012000000}">
      <formula1>$B$85:$F$85</formula1>
    </dataValidation>
    <dataValidation type="list" allowBlank="1" showInputMessage="1" showErrorMessage="1" sqref="D12:D13" xr:uid="{00000000-0002-0000-0300-000013000000}">
      <formula1>$B$81:$D$81</formula1>
    </dataValidation>
    <dataValidation type="list" allowBlank="1" showInputMessage="1" showErrorMessage="1" sqref="D17" xr:uid="{00000000-0002-0000-0300-000014000000}">
      <formula1>$B$86:$F$86</formula1>
    </dataValidation>
    <dataValidation type="list" allowBlank="1" showInputMessage="1" showErrorMessage="1" sqref="D36" xr:uid="{00000000-0002-0000-0300-000017000000}">
      <formula1>$B$103:$D$103</formula1>
    </dataValidation>
    <dataValidation type="list" allowBlank="1" showInputMessage="1" showErrorMessage="1" sqref="D53" xr:uid="{00000000-0002-0000-0300-000018000000}">
      <formula1>$B$119:$D$119</formula1>
    </dataValidation>
    <dataValidation type="list" allowBlank="1" showInputMessage="1" showErrorMessage="1" sqref="D55" xr:uid="{00000000-0002-0000-0300-000019000000}">
      <formula1>$B$120:$D$120</formula1>
    </dataValidation>
    <dataValidation type="list" allowBlank="1" showInputMessage="1" showErrorMessage="1" sqref="D28" xr:uid="{00000000-0002-0000-0300-00001A000000}">
      <formula1>#REF!</formula1>
    </dataValidation>
    <dataValidation type="list" allowBlank="1" showInputMessage="1" showErrorMessage="1" sqref="D44" xr:uid="{00000000-0002-0000-0300-00001B000000}">
      <formula1>$B$112:$D$112</formula1>
    </dataValidation>
    <dataValidation type="list" allowBlank="1" showInputMessage="1" showErrorMessage="1" sqref="D31:D32" xr:uid="{92EB70F1-07E1-4ECC-960E-E5CD4F80AE55}">
      <formula1>$B$98:$E$98</formula1>
    </dataValidation>
    <dataValidation type="list" allowBlank="1" showInputMessage="1" showErrorMessage="1" sqref="D19" xr:uid="{00000000-0002-0000-0300-000010000000}">
      <formula1>$B$89:$E$89</formula1>
    </dataValidation>
    <dataValidation type="list" allowBlank="1" showInputMessage="1" showErrorMessage="1" sqref="D21" xr:uid="{2A8FEE29-9742-411F-8380-21909949E250}">
      <formula1>$B$91:$E$91</formula1>
    </dataValidation>
    <dataValidation type="list" allowBlank="1" showInputMessage="1" showErrorMessage="1" sqref="D18" xr:uid="{00000000-0002-0000-0300-000015000000}">
      <formula1>$B$87:$E$87</formula1>
    </dataValidation>
    <dataValidation type="list" allowBlank="1" showInputMessage="1" showErrorMessage="1" sqref="D52 D54" xr:uid="{2C3B1D4D-A91E-42FF-883F-760EA7714E12}">
      <formula1>$B$118:$D$118</formula1>
    </dataValidation>
    <dataValidation type="list" allowBlank="1" showInputMessage="1" showErrorMessage="1" sqref="D45" xr:uid="{BE9B0CBE-3D7E-4AFB-B9CF-0624A03481DE}">
      <formula1>$B$113:$E$113</formula1>
    </dataValidation>
    <dataValidation type="list" allowBlank="1" showInputMessage="1" showErrorMessage="1" sqref="D46" xr:uid="{CF2EFADA-5A51-4ADF-ADFC-8230745EB93F}">
      <formula1>$B$114:$D$114</formula1>
    </dataValidation>
    <dataValidation type="list" allowBlank="1" showInputMessage="1" showErrorMessage="1" sqref="D47" xr:uid="{32469AA9-35AA-4A5F-B473-83E6F59A5FA1}">
      <formula1>$B$115:$E$115</formula1>
    </dataValidation>
    <dataValidation type="list" allowBlank="1" showInputMessage="1" showErrorMessage="1" sqref="D48" xr:uid="{FBE53A3F-0AA1-4C3C-8991-06233980EBF4}">
      <formula1>$B$116:$D$116</formula1>
    </dataValidation>
    <dataValidation type="list" allowBlank="1" showInputMessage="1" showErrorMessage="1" sqref="D33" xr:uid="{00000000-0002-0000-0300-00000C000000}">
      <formula1>$B$100:$D$100</formula1>
    </dataValidation>
    <dataValidation type="list" allowBlank="1" showInputMessage="1" showErrorMessage="1" sqref="D34" xr:uid="{00000000-0002-0000-0300-00000D000000}">
      <formula1>$B$101:$D$101</formula1>
    </dataValidation>
  </dataValidations>
  <hyperlinks>
    <hyperlink ref="F16" r:id="rId3" xr:uid="{E069D19B-54D7-4E44-8F60-DB5403BCD21C}"/>
    <hyperlink ref="F17" r:id="rId4" xr:uid="{F10C777B-3E68-45AB-8517-871F1D0E2549}"/>
  </hyperlinks>
  <pageMargins left="0.7" right="0.7" top="0.75" bottom="0.75" header="0.3" footer="0.3"/>
  <pageSetup scale="47" orientation="landscape" r:id="rId5"/>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outlinePr summaryBelow="0" summaryRight="0"/>
  </sheetPr>
  <dimension ref="A1:AR197"/>
  <sheetViews>
    <sheetView zoomScale="60" zoomScaleNormal="60" workbookViewId="0">
      <selection activeCell="D15" sqref="D15"/>
    </sheetView>
  </sheetViews>
  <sheetFormatPr defaultColWidth="9.1796875" defaultRowHeight="14.5"/>
  <cols>
    <col min="1" max="1" width="42.26953125" customWidth="1"/>
    <col min="2" max="2" width="50.453125" customWidth="1"/>
    <col min="3" max="3" width="38.453125" customWidth="1"/>
    <col min="4" max="4" width="60.26953125" customWidth="1"/>
    <col min="5" max="5" width="23" customWidth="1"/>
    <col min="6" max="6" width="23.26953125" customWidth="1"/>
    <col min="7" max="8" width="11" customWidth="1"/>
    <col min="9" max="9" width="12.81640625" customWidth="1"/>
    <col min="10" max="10" width="11" customWidth="1"/>
    <col min="11" max="11" width="6.26953125" customWidth="1"/>
    <col min="12" max="12" width="11" customWidth="1"/>
  </cols>
  <sheetData>
    <row r="1" spans="1:44" ht="26">
      <c r="A1" s="537" t="s">
        <v>61</v>
      </c>
      <c r="B1" s="537"/>
      <c r="C1" s="537"/>
      <c r="D1" s="537"/>
      <c r="E1" s="537"/>
      <c r="F1" s="537"/>
      <c r="G1" s="34"/>
      <c r="H1" s="34"/>
      <c r="I1" s="34"/>
      <c r="J1" s="34"/>
      <c r="K1" s="34"/>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row>
    <row r="2" spans="1:44" s="22" customFormat="1" ht="15.75" customHeight="1" thickBot="1">
      <c r="A2" s="506"/>
      <c r="B2" s="21"/>
      <c r="C2" s="31"/>
      <c r="D2" s="21"/>
      <c r="E2" s="21"/>
      <c r="F2" s="21"/>
      <c r="G2" s="34"/>
      <c r="H2" s="34"/>
      <c r="I2" s="34"/>
      <c r="J2" s="34"/>
      <c r="K2" s="34"/>
    </row>
    <row r="3" spans="1:44" ht="29.25" customHeight="1">
      <c r="A3" s="164" t="s">
        <v>404</v>
      </c>
      <c r="B3" s="53" t="str">
        <f>SUM(E83) &amp; " of 30 points"</f>
        <v>0 of 30 points</v>
      </c>
      <c r="C3" s="265"/>
      <c r="D3" s="24"/>
      <c r="E3" s="139"/>
      <c r="F3" s="144"/>
      <c r="G3" s="34"/>
      <c r="H3" s="34"/>
      <c r="I3" s="34"/>
      <c r="J3" s="34"/>
      <c r="K3" s="34"/>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row>
    <row r="4" spans="1:44" ht="18.75" customHeight="1">
      <c r="A4" s="142" t="s">
        <v>405</v>
      </c>
      <c r="B4" s="52" t="str">
        <f>SUM(E34:E37) &amp; " of " &amp; 4</f>
        <v>0 of 4</v>
      </c>
      <c r="C4" s="265"/>
      <c r="D4" s="24"/>
      <c r="E4" s="139"/>
      <c r="F4" s="144"/>
      <c r="G4" s="34"/>
      <c r="H4" s="34"/>
      <c r="I4" s="34"/>
      <c r="J4" s="34"/>
      <c r="K4" s="34"/>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row>
    <row r="5" spans="1:44" ht="18.75" customHeight="1">
      <c r="A5" s="142" t="s">
        <v>406</v>
      </c>
      <c r="B5" s="52" t="str">
        <f>SUM(E41:E43)   &amp; " of " &amp; 6</f>
        <v>0 of 6</v>
      </c>
      <c r="C5" s="265"/>
      <c r="D5" s="21"/>
      <c r="E5" s="139"/>
      <c r="F5" s="139"/>
      <c r="G5" s="34"/>
      <c r="H5" s="34"/>
      <c r="I5" s="34"/>
      <c r="J5" s="34"/>
      <c r="K5" s="34"/>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row>
    <row r="6" spans="1:44" ht="18.75" customHeight="1">
      <c r="A6" s="142" t="s">
        <v>407</v>
      </c>
      <c r="B6" s="52" t="str">
        <f>SUM(E47:E50)   &amp; " of " &amp; 4</f>
        <v>0 of 4</v>
      </c>
      <c r="C6" s="265"/>
      <c r="D6" s="21"/>
      <c r="E6" s="139"/>
      <c r="F6" s="139"/>
      <c r="G6" s="34"/>
      <c r="H6" s="34"/>
      <c r="I6" s="34"/>
      <c r="J6" s="34"/>
      <c r="K6" s="34"/>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row>
    <row r="7" spans="1:44" ht="18.75" customHeight="1">
      <c r="A7" s="142" t="s">
        <v>408</v>
      </c>
      <c r="B7" s="52" t="str">
        <f>SUM(E54:E55)   &amp; " of " &amp; 4</f>
        <v>0 of 4</v>
      </c>
      <c r="C7" s="265"/>
      <c r="D7" s="21"/>
      <c r="E7" s="139"/>
      <c r="F7" s="139"/>
      <c r="G7" s="34"/>
      <c r="H7" s="34"/>
      <c r="I7" s="34"/>
      <c r="J7" s="34"/>
      <c r="K7" s="34"/>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row>
    <row r="8" spans="1:44" ht="18.75" customHeight="1">
      <c r="A8" s="142" t="s">
        <v>409</v>
      </c>
      <c r="B8" s="52" t="str">
        <f>SUM(E59:E63)   &amp; " of " &amp; 4</f>
        <v>0 of 4</v>
      </c>
      <c r="C8" s="265"/>
      <c r="D8" s="21"/>
      <c r="E8" s="139"/>
      <c r="F8" s="139"/>
      <c r="G8" s="34"/>
      <c r="H8" s="34"/>
      <c r="I8" s="34"/>
      <c r="J8" s="34"/>
      <c r="K8" s="34"/>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row>
    <row r="9" spans="1:44" ht="18.75" customHeight="1">
      <c r="A9" s="170" t="s">
        <v>410</v>
      </c>
      <c r="B9" s="83" t="str">
        <f>SUM(E67:E67)   &amp; " of " &amp; 2</f>
        <v>0 of 2</v>
      </c>
      <c r="C9" s="266"/>
      <c r="D9" s="21"/>
      <c r="E9" s="139"/>
      <c r="F9" s="139"/>
      <c r="G9" s="34"/>
      <c r="H9" s="34"/>
      <c r="I9" s="34"/>
      <c r="J9" s="34"/>
      <c r="K9" s="34"/>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row>
    <row r="10" spans="1:44" ht="18.75" customHeight="1">
      <c r="A10" s="270" t="s">
        <v>411</v>
      </c>
      <c r="B10" s="83" t="str">
        <f>SUM(E71:E73) &amp; " of " &amp; 6</f>
        <v>0 of 6</v>
      </c>
      <c r="C10" s="266"/>
      <c r="D10" s="21"/>
      <c r="E10" s="139"/>
      <c r="F10" s="139"/>
      <c r="G10" s="34"/>
      <c r="H10" s="34"/>
      <c r="I10" s="34"/>
      <c r="J10" s="34"/>
      <c r="K10" s="34"/>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row>
    <row r="11" spans="1:44" ht="18.75" customHeight="1" thickBot="1">
      <c r="A11" s="171" t="s">
        <v>412</v>
      </c>
      <c r="B11" s="84" t="str">
        <f>SUM(E77,E81) &amp; " of " &amp; 2</f>
        <v>0 of 2</v>
      </c>
      <c r="C11" s="267"/>
      <c r="D11" s="21"/>
      <c r="E11" s="139"/>
      <c r="F11" s="139"/>
      <c r="G11" s="34"/>
      <c r="H11" s="34"/>
      <c r="I11" s="34"/>
      <c r="J11" s="34"/>
      <c r="K11" s="34"/>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row>
    <row r="12" spans="1:44" s="22" customFormat="1" ht="24.75" customHeight="1" thickBot="1">
      <c r="A12" s="226"/>
      <c r="B12" s="227"/>
      <c r="C12" s="144"/>
      <c r="D12" s="144"/>
      <c r="E12" s="139"/>
      <c r="F12" s="139"/>
      <c r="G12" s="34"/>
      <c r="H12" s="34"/>
      <c r="I12" s="34"/>
      <c r="J12" s="34"/>
      <c r="K12" s="34"/>
    </row>
    <row r="13" spans="1:44" ht="21.5" hidden="1" thickBot="1">
      <c r="A13" s="167"/>
      <c r="B13" s="167"/>
      <c r="C13" s="167"/>
      <c r="D13" s="139"/>
      <c r="E13" s="139"/>
      <c r="F13" s="139"/>
      <c r="G13" s="34"/>
      <c r="H13" s="34"/>
      <c r="I13" s="34"/>
      <c r="J13" s="34"/>
      <c r="K13" s="34"/>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row>
    <row r="14" spans="1:44" ht="16" thickBot="1">
      <c r="A14" s="143"/>
      <c r="B14" s="549" t="s">
        <v>125</v>
      </c>
      <c r="C14" s="550"/>
      <c r="D14" s="551"/>
      <c r="E14" s="348" t="s">
        <v>126</v>
      </c>
      <c r="F14" s="151"/>
      <c r="G14" s="34"/>
      <c r="H14" s="34"/>
      <c r="I14" s="34"/>
      <c r="J14" s="34"/>
      <c r="K14" s="34"/>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row>
    <row r="15" spans="1:44" ht="43" customHeight="1">
      <c r="A15" s="143"/>
      <c r="B15" s="574" t="s">
        <v>413</v>
      </c>
      <c r="C15" s="575"/>
      <c r="D15" s="366"/>
      <c r="E15" s="347" t="s">
        <v>132</v>
      </c>
      <c r="F15" s="151"/>
      <c r="G15" s="34"/>
      <c r="H15" s="34"/>
      <c r="I15" s="34"/>
      <c r="J15" s="34"/>
      <c r="K15" s="34"/>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row>
    <row r="16" spans="1:44" ht="31" customHeight="1">
      <c r="A16" s="143"/>
      <c r="B16" s="578" t="str">
        <f>IF(D15=B93,"What is the nearest target year of your VMT/GHG goal?","Not applicable")</f>
        <v>Not applicable</v>
      </c>
      <c r="C16" s="579"/>
      <c r="D16" s="333"/>
      <c r="E16" s="347" t="s">
        <v>132</v>
      </c>
      <c r="F16" s="151"/>
      <c r="G16" s="34"/>
      <c r="H16" s="34"/>
      <c r="I16" s="34"/>
      <c r="J16" s="34"/>
      <c r="K16" s="34"/>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row>
    <row r="17" spans="1:44" ht="30" customHeight="1">
      <c r="A17" s="143"/>
      <c r="B17" s="578" t="str">
        <f>IF(D15=B93,"What is the reduction target in the nearest target year, as a percentage?","Not applicable")</f>
        <v>Not applicable</v>
      </c>
      <c r="C17" s="579"/>
      <c r="D17" s="367"/>
      <c r="E17" s="347" t="s">
        <v>132</v>
      </c>
      <c r="F17" s="151"/>
      <c r="G17" s="34"/>
      <c r="H17" s="34"/>
      <c r="I17" s="34"/>
      <c r="J17" s="34"/>
      <c r="K17" s="34"/>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row>
    <row r="18" spans="1:44" ht="38.25" customHeight="1">
      <c r="A18" s="143"/>
      <c r="B18" s="578" t="str">
        <f>IF(D15=B93,"What were your city's total VMT or GHG emissions from the transportation sector in the baseline year?","Not applicable")</f>
        <v>Not applicable</v>
      </c>
      <c r="C18" s="579"/>
      <c r="D18" s="333"/>
      <c r="E18" s="347" t="s">
        <v>132</v>
      </c>
      <c r="F18" s="151"/>
      <c r="G18" s="34"/>
      <c r="H18" s="34"/>
      <c r="I18" s="34"/>
      <c r="J18" s="34"/>
      <c r="K18" s="34"/>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row>
    <row r="19" spans="1:44" ht="25.5" customHeight="1">
      <c r="A19" s="143"/>
      <c r="B19" s="578" t="str">
        <f>IF(D15=B93,"In what year did your city adopt the goal?","Not applicable")</f>
        <v>Not applicable</v>
      </c>
      <c r="C19" s="579"/>
      <c r="D19" s="333"/>
      <c r="E19" s="347" t="s">
        <v>132</v>
      </c>
      <c r="F19" s="151"/>
      <c r="G19" s="34"/>
      <c r="H19" s="34"/>
      <c r="I19" s="34"/>
      <c r="J19" s="34"/>
      <c r="K19" s="34"/>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row>
    <row r="20" spans="1:44" ht="37.5" customHeight="1">
      <c r="A20" s="29"/>
      <c r="B20" s="578" t="str">
        <f>IF(D15=B93,"What were your city's total VMT or GHG emissions from the transportation sector in the adoption year?","Not applicable")</f>
        <v>Not applicable</v>
      </c>
      <c r="C20" s="579"/>
      <c r="D20" s="333"/>
      <c r="E20" s="347" t="s">
        <v>132</v>
      </c>
      <c r="F20" s="151"/>
      <c r="G20" s="34"/>
      <c r="I20" s="34"/>
      <c r="J20" s="34"/>
      <c r="K20" s="34"/>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row>
    <row r="21" spans="1:44" ht="28.5" customHeight="1">
      <c r="A21" s="29"/>
      <c r="B21" s="578" t="str">
        <f>IF(D15=B93,"What is the most recent year for which your city has data available?","Not applicable")</f>
        <v>Not applicable</v>
      </c>
      <c r="C21" s="579"/>
      <c r="D21" s="368"/>
      <c r="E21" s="347" t="s">
        <v>132</v>
      </c>
      <c r="F21" s="151"/>
      <c r="G21" s="34"/>
      <c r="H21" s="34"/>
      <c r="I21" s="34"/>
      <c r="J21" s="34"/>
      <c r="K21" s="34"/>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row>
    <row r="22" spans="1:44" ht="38.25" customHeight="1">
      <c r="A22" s="29"/>
      <c r="B22" s="578" t="str">
        <f>IF(D15=B93,"What were your city's total VMT or GHG emissions from the transportation section in the year for which the most recent data are available?", "Not applicable")</f>
        <v>Not applicable</v>
      </c>
      <c r="C22" s="579"/>
      <c r="D22" s="333"/>
      <c r="E22" s="347" t="s">
        <v>132</v>
      </c>
      <c r="F22" s="151"/>
      <c r="G22" s="34"/>
      <c r="H22" s="34"/>
      <c r="I22" s="34"/>
      <c r="J22" s="34"/>
      <c r="K22" s="34"/>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row>
    <row r="23" spans="1:44" ht="29" customHeight="1">
      <c r="A23" s="29"/>
      <c r="B23" s="578" t="s">
        <v>414</v>
      </c>
      <c r="C23" s="579"/>
      <c r="D23" s="333"/>
      <c r="E23" s="374" t="s">
        <v>420</v>
      </c>
      <c r="F23" s="151"/>
      <c r="G23" s="34"/>
      <c r="H23" s="34"/>
      <c r="I23" s="34"/>
      <c r="J23" s="34"/>
      <c r="K23" s="34"/>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row>
    <row r="24" spans="1:44" ht="30" customHeight="1">
      <c r="A24" s="29"/>
      <c r="B24" s="578" t="s">
        <v>415</v>
      </c>
      <c r="C24" s="579"/>
      <c r="D24" s="333"/>
      <c r="E24" s="347" t="s">
        <v>132</v>
      </c>
      <c r="F24" s="151"/>
      <c r="G24" s="34"/>
      <c r="H24" s="34"/>
      <c r="I24" s="34"/>
      <c r="J24" s="34"/>
      <c r="K24" s="34"/>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row>
    <row r="25" spans="1:44" ht="36.75" customHeight="1">
      <c r="A25" s="33"/>
      <c r="B25" s="574" t="s">
        <v>416</v>
      </c>
      <c r="C25" s="575"/>
      <c r="D25" s="366"/>
      <c r="E25" s="369" t="s">
        <v>417</v>
      </c>
      <c r="F25" s="150"/>
      <c r="G25" s="34"/>
      <c r="H25" s="34"/>
      <c r="I25" s="34"/>
      <c r="J25" s="34"/>
      <c r="K25" s="34"/>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row>
    <row r="26" spans="1:44" ht="31.5" customHeight="1" thickBot="1">
      <c r="A26" s="33" t="s">
        <v>418</v>
      </c>
      <c r="B26" s="576" t="s">
        <v>419</v>
      </c>
      <c r="C26" s="577"/>
      <c r="D26" s="370"/>
      <c r="E26" s="369" t="s">
        <v>420</v>
      </c>
      <c r="F26" s="223"/>
      <c r="G26" s="34"/>
      <c r="H26" s="34"/>
      <c r="I26" s="34"/>
      <c r="J26" s="34"/>
      <c r="K26" s="34"/>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row>
    <row r="27" spans="1:44" ht="21.25" customHeight="1">
      <c r="A27" s="33"/>
      <c r="B27" s="64"/>
      <c r="C27" s="64"/>
      <c r="D27" s="63"/>
      <c r="E27" s="161"/>
      <c r="F27" s="151"/>
      <c r="G27" s="34"/>
      <c r="H27" s="34"/>
      <c r="I27" s="34"/>
      <c r="J27" s="34"/>
      <c r="K27" s="34"/>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row>
    <row r="28" spans="1:44" hidden="1">
      <c r="A28" s="33"/>
      <c r="B28" s="64"/>
      <c r="C28" s="64"/>
      <c r="D28" s="63"/>
      <c r="E28" s="162"/>
      <c r="F28" s="151"/>
      <c r="G28" s="34"/>
      <c r="H28" s="34"/>
      <c r="I28" s="34"/>
      <c r="J28" s="34"/>
      <c r="K28" s="34"/>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row>
    <row r="29" spans="1:44" hidden="1">
      <c r="A29" s="33"/>
      <c r="B29" s="62"/>
      <c r="C29" s="62"/>
      <c r="D29" s="63"/>
      <c r="E29" s="162"/>
      <c r="F29" s="383"/>
      <c r="G29" s="34"/>
      <c r="H29" s="34"/>
      <c r="I29" s="34"/>
      <c r="J29" s="34"/>
      <c r="K29" s="34"/>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row>
    <row r="30" spans="1:44" hidden="1">
      <c r="A30" s="33"/>
      <c r="B30" s="62"/>
      <c r="C30" s="62"/>
      <c r="D30" s="63"/>
      <c r="E30" s="162"/>
      <c r="F30" s="383"/>
      <c r="G30" s="34"/>
      <c r="H30" s="34"/>
      <c r="I30" s="34"/>
      <c r="J30" s="34"/>
      <c r="K30" s="34"/>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row>
    <row r="31" spans="1:44">
      <c r="A31" s="33"/>
      <c r="B31" s="62"/>
      <c r="C31" s="62"/>
      <c r="D31" s="63"/>
      <c r="E31" s="162"/>
      <c r="F31" s="383"/>
      <c r="G31" s="34"/>
      <c r="H31" s="34"/>
      <c r="I31" s="34"/>
      <c r="J31" s="34"/>
      <c r="K31" s="34"/>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row>
    <row r="32" spans="1:44" s="22" customFormat="1" ht="21.5" thickBot="1">
      <c r="A32" s="138" t="s">
        <v>405</v>
      </c>
      <c r="B32" s="139"/>
      <c r="C32" s="21"/>
      <c r="D32" s="21"/>
      <c r="E32" s="150"/>
      <c r="F32" s="150"/>
      <c r="G32" s="34"/>
      <c r="H32" s="34"/>
      <c r="I32" s="34"/>
      <c r="J32" s="34"/>
      <c r="K32" s="34"/>
    </row>
    <row r="33" spans="1:44" ht="40" customHeight="1">
      <c r="A33" s="273" t="s">
        <v>7</v>
      </c>
      <c r="B33" s="291" t="s">
        <v>127</v>
      </c>
      <c r="C33" s="291" t="s">
        <v>421</v>
      </c>
      <c r="D33" s="291" t="s">
        <v>422</v>
      </c>
      <c r="E33" s="291" t="s">
        <v>142</v>
      </c>
      <c r="F33" s="348" t="s">
        <v>126</v>
      </c>
      <c r="G33" s="34"/>
      <c r="H33" s="34"/>
      <c r="I33" s="34"/>
      <c r="J33" s="34"/>
      <c r="K33" s="34"/>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row>
    <row r="34" spans="1:44" ht="81" customHeight="1">
      <c r="A34" s="342" t="s">
        <v>62</v>
      </c>
      <c r="B34" s="377" t="s">
        <v>1582</v>
      </c>
      <c r="C34" s="310"/>
      <c r="D34" s="310"/>
      <c r="E34" s="294" t="str">
        <f>IF(D34=B98,1,IF(D34=C98,0.5,IF(D34=D98,0,"")))</f>
        <v/>
      </c>
      <c r="F34" s="295" t="s">
        <v>132</v>
      </c>
      <c r="G34" s="34"/>
      <c r="H34" s="34"/>
      <c r="I34" s="34"/>
      <c r="J34" s="34"/>
      <c r="K34" s="34"/>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row>
    <row r="35" spans="1:44" ht="51" customHeight="1">
      <c r="A35" s="307" t="s">
        <v>63</v>
      </c>
      <c r="B35" s="377" t="s">
        <v>423</v>
      </c>
      <c r="C35" s="310"/>
      <c r="D35" s="310"/>
      <c r="E35" s="294" t="str">
        <f>IF(D35=B99,1,IF(D35=C99,0,IF(D15=C93,0,"")))</f>
        <v/>
      </c>
      <c r="F35" s="295" t="s">
        <v>132</v>
      </c>
      <c r="G35" s="34"/>
      <c r="H35" s="34"/>
      <c r="I35" s="34"/>
      <c r="J35" s="34"/>
      <c r="K35" s="34"/>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row>
    <row r="36" spans="1:44" ht="51" customHeight="1">
      <c r="A36" s="343" t="s">
        <v>424</v>
      </c>
      <c r="B36" s="251" t="s">
        <v>425</v>
      </c>
      <c r="C36" s="378" t="str">
        <f>IFERROR('Hidden Sheet'!E200,"")</f>
        <v/>
      </c>
      <c r="D36" s="310"/>
      <c r="E36" s="294" t="str">
        <f>IF(D36=B100,1,IF(D36=C100,0.5,IF(D36=D100,0,"")))</f>
        <v/>
      </c>
      <c r="F36" s="295" t="s">
        <v>132</v>
      </c>
      <c r="G36" s="34"/>
      <c r="H36" s="34"/>
      <c r="I36" s="34"/>
      <c r="J36" s="34"/>
      <c r="K36" s="34"/>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row>
    <row r="37" spans="1:44" ht="49" customHeight="1" thickBot="1">
      <c r="A37" s="336" t="s">
        <v>426</v>
      </c>
      <c r="B37" s="206" t="s">
        <v>1524</v>
      </c>
      <c r="C37" s="379" t="str">
        <f ca="1">IFERROR(('Hidden Sheet'!G199*(D16-D19))/(C36*(D16-D19)),"")</f>
        <v/>
      </c>
      <c r="D37" s="354"/>
      <c r="E37" s="301" t="str">
        <f>IF(D37=B101,1,IF(D37=C101,0.5,IF(D37=D101,0,"")))</f>
        <v/>
      </c>
      <c r="F37" s="299" t="s">
        <v>132</v>
      </c>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row>
    <row r="38" spans="1:44" ht="25" customHeight="1">
      <c r="A38" s="138"/>
      <c r="B38" s="139"/>
      <c r="C38" s="21"/>
      <c r="D38" s="21"/>
      <c r="E38" s="150"/>
      <c r="F38" s="150"/>
      <c r="G38" s="34"/>
      <c r="H38" s="34"/>
      <c r="I38" s="34"/>
      <c r="J38" s="34"/>
      <c r="K38" s="34"/>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row>
    <row r="39" spans="1:44" ht="25" customHeight="1" thickBot="1">
      <c r="A39" s="138" t="s">
        <v>406</v>
      </c>
      <c r="B39" s="139"/>
      <c r="C39" s="21"/>
      <c r="D39" s="21"/>
      <c r="E39" s="150"/>
      <c r="F39" s="150"/>
      <c r="G39" s="34"/>
      <c r="H39" s="34"/>
      <c r="I39" s="34"/>
      <c r="J39" s="34"/>
      <c r="K39" s="34"/>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row>
    <row r="40" spans="1:44" ht="39" customHeight="1">
      <c r="A40" s="273" t="s">
        <v>7</v>
      </c>
      <c r="B40" s="291" t="s">
        <v>127</v>
      </c>
      <c r="C40" s="291" t="s">
        <v>421</v>
      </c>
      <c r="D40" s="291" t="s">
        <v>422</v>
      </c>
      <c r="E40" s="291" t="s">
        <v>142</v>
      </c>
      <c r="F40" s="348" t="s">
        <v>126</v>
      </c>
      <c r="G40" s="34"/>
      <c r="H40" s="34"/>
      <c r="I40" s="34"/>
      <c r="J40" s="34"/>
      <c r="K40" s="34"/>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row>
    <row r="41" spans="1:44" ht="69.75" customHeight="1">
      <c r="A41" s="293" t="s">
        <v>67</v>
      </c>
      <c r="B41" s="377" t="s">
        <v>427</v>
      </c>
      <c r="C41" s="310"/>
      <c r="D41" s="310"/>
      <c r="E41" s="294" t="str">
        <f>IF(D41=B103,2,IF(D41=C103,1.5,IF(D41=D103,1,IF(D41=E103,0.5,IF(D41=F103,0,"")))))</f>
        <v/>
      </c>
      <c r="F41" s="295" t="s">
        <v>132</v>
      </c>
      <c r="G41" s="34"/>
      <c r="H41" s="34"/>
      <c r="I41" s="34"/>
      <c r="J41" s="34"/>
      <c r="K41" s="34"/>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row>
    <row r="42" spans="1:44" ht="46" customHeight="1">
      <c r="A42" s="293" t="s">
        <v>66</v>
      </c>
      <c r="B42" s="377" t="s">
        <v>428</v>
      </c>
      <c r="C42" s="310"/>
      <c r="D42" s="310"/>
      <c r="E42" s="294" t="str">
        <f>IF(D42=B104,2,IF(D42=C104,1,IF(D42=D104,0,"")))</f>
        <v/>
      </c>
      <c r="F42" s="371" t="s">
        <v>429</v>
      </c>
      <c r="G42" s="34"/>
      <c r="H42" s="34"/>
      <c r="I42" s="34"/>
      <c r="J42" s="34"/>
      <c r="K42" s="34"/>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row>
    <row r="43" spans="1:44" ht="55" customHeight="1" thickBot="1">
      <c r="A43" s="298" t="s">
        <v>68</v>
      </c>
      <c r="B43" s="380" t="s">
        <v>430</v>
      </c>
      <c r="C43" s="354"/>
      <c r="D43" s="354"/>
      <c r="E43" s="301" t="str">
        <f>IF(D43=B105,2,IF(D43=C105,1.5,IF(D43=D105,1,IF(D43=E105,0.5,IF(D43=F105,0,IF(D43="",""))))))</f>
        <v/>
      </c>
      <c r="F43" s="299" t="s">
        <v>132</v>
      </c>
      <c r="G43" s="34"/>
      <c r="H43" s="34"/>
      <c r="I43" s="34"/>
      <c r="J43" s="34"/>
      <c r="K43" s="34"/>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row>
    <row r="44" spans="1:44" s="22" customFormat="1" ht="25" customHeight="1">
      <c r="A44" s="144"/>
      <c r="B44" s="144"/>
      <c r="E44" s="151"/>
      <c r="F44" s="151"/>
      <c r="G44" s="34"/>
      <c r="H44" s="34"/>
      <c r="I44" s="34"/>
      <c r="J44" s="34"/>
      <c r="K44" s="34"/>
    </row>
    <row r="45" spans="1:44" s="22" customFormat="1" ht="25" customHeight="1" thickBot="1">
      <c r="A45" s="138" t="s">
        <v>431</v>
      </c>
      <c r="B45" s="139"/>
      <c r="C45" s="21"/>
      <c r="D45" s="21"/>
      <c r="E45" s="150"/>
      <c r="F45" s="150"/>
      <c r="G45" s="34"/>
      <c r="H45" s="34"/>
      <c r="I45" s="34"/>
      <c r="J45" s="34"/>
      <c r="K45" s="34"/>
    </row>
    <row r="46" spans="1:44" ht="39.75" customHeight="1">
      <c r="A46" s="273" t="s">
        <v>7</v>
      </c>
      <c r="B46" s="291" t="s">
        <v>127</v>
      </c>
      <c r="C46" s="291" t="s">
        <v>421</v>
      </c>
      <c r="D46" s="291" t="s">
        <v>422</v>
      </c>
      <c r="E46" s="291" t="s">
        <v>142</v>
      </c>
      <c r="F46" s="348" t="s">
        <v>126</v>
      </c>
      <c r="G46" s="34"/>
      <c r="H46" s="34"/>
      <c r="I46" s="34"/>
      <c r="J46" s="34"/>
      <c r="K46" s="34"/>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row>
    <row r="47" spans="1:44" ht="56.5" customHeight="1">
      <c r="A47" s="293" t="s">
        <v>432</v>
      </c>
      <c r="B47" s="251" t="s">
        <v>433</v>
      </c>
      <c r="C47" s="310"/>
      <c r="D47" s="310"/>
      <c r="E47" s="294" t="str">
        <f>IF(D47=B107,1,IF(D47=C107,0.5,IF(D47=D107,0,"")))</f>
        <v/>
      </c>
      <c r="F47" s="295" t="s">
        <v>132</v>
      </c>
      <c r="G47" s="34"/>
      <c r="H47" s="34"/>
      <c r="I47" s="34"/>
      <c r="J47" s="34"/>
      <c r="K47" s="34"/>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row>
    <row r="48" spans="1:44" ht="53.25" customHeight="1">
      <c r="A48" s="293" t="s">
        <v>434</v>
      </c>
      <c r="B48" s="251" t="s">
        <v>435</v>
      </c>
      <c r="C48" s="310"/>
      <c r="D48" s="310"/>
      <c r="E48" s="294" t="str">
        <f>IF(D48=B108,1,IF(D48=C108,0,""))</f>
        <v/>
      </c>
      <c r="F48" s="295" t="s">
        <v>132</v>
      </c>
      <c r="G48" s="34"/>
      <c r="H48" s="34"/>
      <c r="I48" s="34"/>
      <c r="J48" s="34"/>
      <c r="K48" s="34"/>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row>
    <row r="49" spans="1:37" ht="49.5" customHeight="1">
      <c r="A49" s="293" t="s">
        <v>71</v>
      </c>
      <c r="B49" s="251" t="s">
        <v>436</v>
      </c>
      <c r="C49" s="310"/>
      <c r="D49" s="310"/>
      <c r="E49" s="294" t="str">
        <f>IF(D49=B109,1,IF(D49=C109,0.5,IF(D49=D109,0,"")))</f>
        <v/>
      </c>
      <c r="F49" s="295" t="s">
        <v>132</v>
      </c>
      <c r="G49" s="209"/>
      <c r="H49" s="209"/>
      <c r="I49" s="209"/>
      <c r="J49" s="209"/>
      <c r="K49" s="209"/>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row>
    <row r="50" spans="1:37" s="22" customFormat="1" ht="60.75" customHeight="1" thickBot="1">
      <c r="A50" s="503" t="s">
        <v>72</v>
      </c>
      <c r="B50" s="206" t="s">
        <v>437</v>
      </c>
      <c r="C50" s="354"/>
      <c r="D50" s="354"/>
      <c r="E50" s="301" t="str">
        <f>IF(D50=B110,1,IF(D50=C110,0.5,IF(D50=D110,0,"")))</f>
        <v/>
      </c>
      <c r="F50" s="372" t="s">
        <v>438</v>
      </c>
      <c r="G50" s="209"/>
      <c r="H50" s="209"/>
      <c r="I50" s="209"/>
      <c r="J50" s="209"/>
      <c r="K50" s="209"/>
      <c r="L50" s="96"/>
    </row>
    <row r="51" spans="1:37" s="22" customFormat="1" ht="25" customHeight="1">
      <c r="A51" s="143"/>
      <c r="B51" s="143"/>
      <c r="C51" s="29"/>
      <c r="D51" s="29"/>
      <c r="E51" s="143"/>
      <c r="F51" s="143"/>
      <c r="G51" s="209"/>
      <c r="H51" s="209"/>
      <c r="I51" s="209"/>
      <c r="J51" s="209"/>
      <c r="K51" s="209"/>
    </row>
    <row r="52" spans="1:37" s="22" customFormat="1" ht="25" customHeight="1" thickBot="1">
      <c r="A52" s="138" t="s">
        <v>408</v>
      </c>
      <c r="B52" s="139"/>
      <c r="C52" s="21"/>
      <c r="D52" s="21"/>
      <c r="E52" s="150"/>
      <c r="F52" s="150"/>
      <c r="G52" s="34"/>
      <c r="H52" s="34"/>
      <c r="I52" s="34"/>
      <c r="J52" s="34"/>
      <c r="K52" s="34"/>
    </row>
    <row r="53" spans="1:37" ht="42" customHeight="1">
      <c r="A53" s="273" t="s">
        <v>7</v>
      </c>
      <c r="B53" s="291" t="s">
        <v>127</v>
      </c>
      <c r="C53" s="291" t="s">
        <v>421</v>
      </c>
      <c r="D53" s="291" t="s">
        <v>422</v>
      </c>
      <c r="E53" s="291" t="s">
        <v>142</v>
      </c>
      <c r="F53" s="348" t="s">
        <v>126</v>
      </c>
      <c r="G53" s="34"/>
      <c r="H53" s="34"/>
      <c r="I53" s="34"/>
      <c r="J53" s="34"/>
      <c r="K53" s="34"/>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row>
    <row r="54" spans="1:37" ht="46.5" customHeight="1">
      <c r="A54" s="293" t="s">
        <v>73</v>
      </c>
      <c r="B54" s="377" t="s">
        <v>439</v>
      </c>
      <c r="C54" s="381" t="str">
        <f>IF(ISBLANK(D25),"",D25/D26)</f>
        <v/>
      </c>
      <c r="D54" s="310"/>
      <c r="E54" s="294" t="str">
        <f>IF(D54=B112,2,IF(D54=C112,1.5,IF(D54=D112,1,IF(D54=E112,0.5,IF(D54=F112,0,"")))))</f>
        <v/>
      </c>
      <c r="F54" s="347" t="s">
        <v>440</v>
      </c>
      <c r="G54" s="34"/>
      <c r="H54" s="34"/>
      <c r="I54" s="34"/>
      <c r="J54" s="34"/>
      <c r="K54" s="34"/>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row>
    <row r="55" spans="1:37" ht="33" customHeight="1" thickBot="1">
      <c r="A55" s="298" t="s">
        <v>441</v>
      </c>
      <c r="B55" s="206" t="s">
        <v>442</v>
      </c>
      <c r="C55" s="354"/>
      <c r="D55" s="354"/>
      <c r="E55" s="301" t="str">
        <f>IF(D55=B113,2,IF(D55=C113,1.5,IF(D55=D113,1,IF(D55=E113,0.5,IF(D55=F113,0,"")))))</f>
        <v/>
      </c>
      <c r="F55" s="373" t="s">
        <v>443</v>
      </c>
      <c r="G55" s="34"/>
      <c r="H55" s="34"/>
      <c r="I55" s="34"/>
      <c r="J55" s="34"/>
      <c r="K55" s="34"/>
      <c r="L55" s="34"/>
      <c r="M55" s="34"/>
      <c r="N55" s="34"/>
      <c r="O55" s="34"/>
      <c r="P55" s="34"/>
      <c r="Q55" s="34"/>
      <c r="R55" s="34"/>
      <c r="S55" s="34"/>
      <c r="T55" s="34"/>
      <c r="U55" s="34"/>
      <c r="V55" s="34"/>
      <c r="W55" s="34"/>
      <c r="X55" s="22"/>
      <c r="Y55" s="22"/>
      <c r="Z55" s="22"/>
      <c r="AA55" s="22"/>
      <c r="AB55" s="22"/>
      <c r="AC55" s="22"/>
      <c r="AD55" s="22"/>
      <c r="AE55" s="22"/>
      <c r="AF55" s="22"/>
      <c r="AG55" s="22"/>
      <c r="AH55" s="22"/>
      <c r="AI55" s="22"/>
      <c r="AJ55" s="22"/>
      <c r="AK55" s="22"/>
    </row>
    <row r="56" spans="1:37" ht="25" customHeight="1">
      <c r="A56" s="144"/>
      <c r="B56" s="144"/>
      <c r="C56" s="22"/>
      <c r="D56" s="22"/>
      <c r="E56" s="151"/>
      <c r="F56" s="151"/>
      <c r="G56" s="34"/>
      <c r="H56" s="34"/>
      <c r="I56" s="34"/>
      <c r="J56" s="34"/>
      <c r="K56" s="34"/>
      <c r="L56" s="34"/>
      <c r="M56" s="34"/>
      <c r="N56" s="34"/>
      <c r="O56" s="34"/>
      <c r="P56" s="34"/>
      <c r="Q56" s="34"/>
      <c r="R56" s="34"/>
      <c r="S56" s="34"/>
      <c r="T56" s="34"/>
      <c r="U56" s="34"/>
      <c r="V56" s="34"/>
      <c r="W56" s="34"/>
      <c r="X56" s="22"/>
      <c r="Y56" s="22"/>
      <c r="Z56" s="22"/>
      <c r="AA56" s="22"/>
      <c r="AB56" s="22"/>
      <c r="AC56" s="22"/>
      <c r="AD56" s="22"/>
      <c r="AE56" s="22"/>
      <c r="AF56" s="22"/>
      <c r="AG56" s="22"/>
      <c r="AH56" s="22"/>
      <c r="AI56" s="22"/>
      <c r="AJ56" s="22"/>
      <c r="AK56" s="22"/>
    </row>
    <row r="57" spans="1:37" s="22" customFormat="1" ht="25" customHeight="1" thickBot="1">
      <c r="A57" s="138" t="s">
        <v>444</v>
      </c>
      <c r="B57" s="139"/>
      <c r="C57" s="21"/>
      <c r="D57" s="21"/>
      <c r="E57" s="150"/>
      <c r="F57" s="150"/>
      <c r="G57" s="34"/>
      <c r="H57" s="34"/>
      <c r="I57" s="34"/>
      <c r="J57" s="34"/>
      <c r="K57" s="34"/>
      <c r="L57" s="34"/>
      <c r="M57" s="34"/>
      <c r="N57" s="34"/>
      <c r="O57" s="34"/>
      <c r="P57" s="34"/>
      <c r="Q57" s="34"/>
      <c r="R57" s="34"/>
      <c r="S57" s="34"/>
      <c r="T57" s="34"/>
      <c r="U57" s="34"/>
      <c r="V57" s="34"/>
      <c r="W57" s="34"/>
    </row>
    <row r="58" spans="1:37" ht="41.25" customHeight="1">
      <c r="A58" s="273" t="s">
        <v>7</v>
      </c>
      <c r="B58" s="291" t="s">
        <v>127</v>
      </c>
      <c r="C58" s="291" t="s">
        <v>421</v>
      </c>
      <c r="D58" s="291" t="s">
        <v>422</v>
      </c>
      <c r="E58" s="291" t="s">
        <v>142</v>
      </c>
      <c r="F58" s="348" t="s">
        <v>126</v>
      </c>
      <c r="G58" s="34"/>
      <c r="H58" s="34"/>
      <c r="I58" s="34"/>
      <c r="J58" s="34"/>
      <c r="K58" s="34"/>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row>
    <row r="59" spans="1:37" ht="59.25" customHeight="1">
      <c r="A59" s="307" t="s">
        <v>445</v>
      </c>
      <c r="B59" s="377" t="s">
        <v>446</v>
      </c>
      <c r="C59" s="310"/>
      <c r="D59" s="310"/>
      <c r="E59" s="294" t="str">
        <f>IF(D59=B115,1,IF(D59=D115,0,IF(D59=C115,0.5,"")))</f>
        <v/>
      </c>
      <c r="F59" s="297" t="s">
        <v>132</v>
      </c>
      <c r="G59" s="34"/>
      <c r="H59" s="34"/>
      <c r="I59" s="34"/>
      <c r="J59" s="34"/>
      <c r="K59" s="34"/>
      <c r="L59" s="34"/>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row>
    <row r="60" spans="1:37" ht="51.75" customHeight="1">
      <c r="A60" s="499" t="s">
        <v>447</v>
      </c>
      <c r="B60" s="377" t="s">
        <v>448</v>
      </c>
      <c r="C60" s="310"/>
      <c r="D60" s="310"/>
      <c r="E60" s="294" t="str">
        <f>IF(D60=B117,1,IF(D60=C117,0,""))</f>
        <v/>
      </c>
      <c r="F60" s="297" t="s">
        <v>132</v>
      </c>
      <c r="G60" s="34"/>
      <c r="H60" s="34"/>
      <c r="I60" s="34"/>
      <c r="J60" s="34"/>
      <c r="K60" s="34"/>
      <c r="L60" s="34"/>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row>
    <row r="61" spans="1:37" ht="39" customHeight="1">
      <c r="A61" s="499" t="s">
        <v>449</v>
      </c>
      <c r="B61" s="251" t="s">
        <v>450</v>
      </c>
      <c r="C61" s="310"/>
      <c r="D61" s="310"/>
      <c r="E61" s="304" t="str">
        <f>IF(D61=B116,1,IF(D61=C116,0.5,IF(D61=D116,0,"")))</f>
        <v/>
      </c>
      <c r="F61" s="374" t="s">
        <v>451</v>
      </c>
      <c r="G61" s="34"/>
      <c r="H61" s="34"/>
      <c r="I61" s="34"/>
      <c r="J61" s="34"/>
      <c r="K61" s="34"/>
      <c r="L61" s="34"/>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row>
    <row r="62" spans="1:37" ht="58" customHeight="1">
      <c r="A62" s="293" t="s">
        <v>78</v>
      </c>
      <c r="B62" s="251" t="s">
        <v>452</v>
      </c>
      <c r="C62" s="310"/>
      <c r="D62" s="310"/>
      <c r="E62" s="294" t="str">
        <f>IF(D62=B118,0.5,IF(D62=C118,0,""))</f>
        <v/>
      </c>
      <c r="F62" s="295" t="s">
        <v>132</v>
      </c>
      <c r="G62" s="34"/>
      <c r="H62" s="34"/>
      <c r="I62" s="34"/>
      <c r="J62" s="34"/>
      <c r="K62" s="34"/>
      <c r="L62" s="34"/>
      <c r="M62" s="34"/>
      <c r="N62" s="34"/>
      <c r="O62" s="34"/>
      <c r="P62" s="22"/>
      <c r="Q62" s="22"/>
      <c r="R62" s="22"/>
      <c r="S62" s="22"/>
      <c r="T62" s="22"/>
      <c r="U62" s="22"/>
      <c r="V62" s="22"/>
      <c r="W62" s="22"/>
      <c r="X62" s="22"/>
      <c r="Y62" s="22"/>
      <c r="Z62" s="22"/>
      <c r="AA62" s="22"/>
      <c r="AB62" s="22"/>
      <c r="AC62" s="22"/>
      <c r="AD62" s="22"/>
      <c r="AE62" s="22"/>
      <c r="AF62" s="22"/>
      <c r="AG62" s="22"/>
      <c r="AH62" s="22"/>
      <c r="AI62" s="22"/>
      <c r="AJ62" s="22"/>
      <c r="AK62" s="22"/>
    </row>
    <row r="63" spans="1:37" ht="59.5" customHeight="1" thickBot="1">
      <c r="A63" s="503" t="s">
        <v>79</v>
      </c>
      <c r="B63" s="389" t="s">
        <v>453</v>
      </c>
      <c r="C63" s="382"/>
      <c r="D63" s="382"/>
      <c r="E63" s="301" t="str">
        <f>IF(D63=B119,0.5,IF(D63=C119,0,""))</f>
        <v/>
      </c>
      <c r="F63" s="299" t="s">
        <v>132</v>
      </c>
      <c r="G63" s="34"/>
      <c r="H63" s="34"/>
      <c r="I63" s="34"/>
      <c r="J63" s="34"/>
      <c r="K63" s="34"/>
      <c r="L63" s="34"/>
      <c r="M63" s="34"/>
      <c r="N63" s="34"/>
      <c r="O63" s="34"/>
      <c r="P63" s="22"/>
      <c r="Q63" s="22"/>
      <c r="R63" s="22"/>
      <c r="S63" s="22"/>
      <c r="T63" s="22"/>
      <c r="U63" s="22"/>
      <c r="V63" s="22"/>
      <c r="W63" s="22"/>
      <c r="X63" s="22"/>
      <c r="Y63" s="22"/>
      <c r="Z63" s="22"/>
      <c r="AA63" s="22"/>
      <c r="AB63" s="22"/>
      <c r="AC63" s="22"/>
      <c r="AD63" s="22"/>
      <c r="AE63" s="22"/>
      <c r="AF63" s="22"/>
      <c r="AG63" s="22"/>
      <c r="AH63" s="22"/>
      <c r="AI63" s="22"/>
      <c r="AJ63" s="22"/>
      <c r="AK63" s="22"/>
    </row>
    <row r="64" spans="1:37" ht="25" customHeight="1">
      <c r="A64" s="144"/>
      <c r="B64" s="144"/>
      <c r="C64" s="144"/>
      <c r="D64" s="144"/>
      <c r="E64" s="151"/>
      <c r="F64" s="151"/>
      <c r="H64" s="34"/>
      <c r="I64" s="34"/>
      <c r="J64" s="34"/>
      <c r="K64" s="34"/>
      <c r="L64" s="34"/>
      <c r="M64" s="34"/>
      <c r="N64" s="34"/>
      <c r="O64" s="34"/>
      <c r="R64" s="22"/>
      <c r="S64" s="22"/>
      <c r="T64" s="22"/>
      <c r="U64" s="22"/>
      <c r="V64" s="22"/>
      <c r="W64" s="22"/>
      <c r="X64" s="22"/>
      <c r="Y64" s="22"/>
      <c r="Z64" s="22"/>
      <c r="AA64" s="22"/>
      <c r="AB64" s="22"/>
      <c r="AC64" s="22"/>
      <c r="AD64" s="22"/>
      <c r="AE64" s="22"/>
      <c r="AF64" s="22"/>
      <c r="AG64" s="22"/>
      <c r="AH64" s="22"/>
      <c r="AI64" s="22"/>
      <c r="AJ64" s="22"/>
      <c r="AK64" s="22"/>
    </row>
    <row r="65" spans="1:37" s="22" customFormat="1" ht="25" customHeight="1" thickBot="1">
      <c r="A65" s="138" t="s">
        <v>454</v>
      </c>
      <c r="B65" s="139"/>
      <c r="C65" s="139"/>
      <c r="D65" s="139"/>
      <c r="E65" s="150"/>
      <c r="F65" s="150"/>
      <c r="G65" s="34"/>
      <c r="H65" s="34"/>
      <c r="I65" s="34"/>
      <c r="J65" s="34"/>
      <c r="K65" s="34"/>
      <c r="L65" s="34"/>
      <c r="M65" s="34"/>
      <c r="N65" s="34"/>
      <c r="O65" s="34"/>
    </row>
    <row r="66" spans="1:37" ht="39.75" customHeight="1">
      <c r="A66" s="273" t="s">
        <v>7</v>
      </c>
      <c r="B66" s="291" t="s">
        <v>127</v>
      </c>
      <c r="C66" s="291" t="s">
        <v>421</v>
      </c>
      <c r="D66" s="291" t="s">
        <v>422</v>
      </c>
      <c r="E66" s="291" t="s">
        <v>142</v>
      </c>
      <c r="F66" s="348" t="s">
        <v>126</v>
      </c>
      <c r="G66" s="34"/>
      <c r="H66" s="34"/>
      <c r="I66" s="34"/>
      <c r="J66" s="34"/>
      <c r="K66" s="34"/>
      <c r="L66" s="34"/>
      <c r="M66" s="34"/>
      <c r="N66" s="34"/>
      <c r="O66" s="34"/>
      <c r="P66" s="22"/>
      <c r="Q66" s="22"/>
      <c r="R66" s="22"/>
      <c r="S66" s="22"/>
      <c r="T66" s="22"/>
      <c r="U66" s="22"/>
      <c r="V66" s="22"/>
      <c r="W66" s="22"/>
      <c r="X66" s="22"/>
      <c r="Y66" s="22"/>
      <c r="Z66" s="22"/>
      <c r="AA66" s="22"/>
      <c r="AB66" s="22"/>
      <c r="AC66" s="22"/>
      <c r="AD66" s="22"/>
      <c r="AE66" s="22"/>
      <c r="AF66" s="22"/>
      <c r="AG66" s="22"/>
      <c r="AH66" s="22"/>
      <c r="AI66" s="22"/>
      <c r="AJ66" s="22"/>
      <c r="AK66" s="22"/>
    </row>
    <row r="67" spans="1:37" ht="88" customHeight="1" thickBot="1">
      <c r="A67" s="298" t="s">
        <v>455</v>
      </c>
      <c r="B67" s="206" t="s">
        <v>456</v>
      </c>
      <c r="C67" s="354"/>
      <c r="D67" s="354"/>
      <c r="E67" s="301" t="str">
        <f>IF(D67=B121,2,IF(D67=C121,1.5,IF(D67=D121,1,IF(D67=E121,0.5,IF(D67=F121,0,"")))))</f>
        <v/>
      </c>
      <c r="F67" s="295" t="s">
        <v>132</v>
      </c>
      <c r="G67" s="34"/>
      <c r="H67" s="34"/>
      <c r="I67" s="34"/>
      <c r="J67" s="34"/>
      <c r="K67" s="34"/>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row>
    <row r="68" spans="1:37" ht="25" customHeight="1">
      <c r="A68" s="144"/>
      <c r="B68" s="144"/>
      <c r="C68" s="22"/>
      <c r="D68" s="22"/>
      <c r="E68" s="151"/>
      <c r="F68" s="384"/>
      <c r="G68" s="34"/>
      <c r="H68" s="34"/>
      <c r="I68" s="34"/>
      <c r="J68" s="34"/>
      <c r="K68" s="34"/>
      <c r="L68" s="34"/>
      <c r="M68" s="34"/>
      <c r="N68" s="34"/>
      <c r="O68" s="34"/>
      <c r="P68" s="34"/>
      <c r="Q68" s="34"/>
      <c r="R68" s="34"/>
      <c r="S68" s="34"/>
      <c r="T68" s="22"/>
      <c r="U68" s="22"/>
      <c r="V68" s="22"/>
      <c r="W68" s="22"/>
      <c r="X68" s="22"/>
      <c r="Y68" s="22"/>
      <c r="Z68" s="22"/>
      <c r="AA68" s="22"/>
      <c r="AB68" s="22"/>
      <c r="AC68" s="22"/>
      <c r="AD68" s="22"/>
      <c r="AE68" s="22"/>
      <c r="AF68" s="22"/>
      <c r="AG68" s="22"/>
      <c r="AH68" s="22"/>
      <c r="AI68" s="22"/>
      <c r="AJ68" s="22"/>
      <c r="AK68" s="22"/>
    </row>
    <row r="69" spans="1:37" s="22" customFormat="1" ht="25" customHeight="1" thickBot="1">
      <c r="A69" s="138" t="s">
        <v>457</v>
      </c>
      <c r="B69" s="139"/>
      <c r="C69" s="21"/>
      <c r="D69" s="21"/>
      <c r="E69" s="150"/>
      <c r="F69" s="150"/>
      <c r="G69" s="34"/>
      <c r="H69" s="34"/>
      <c r="I69" s="34"/>
      <c r="J69" s="34"/>
      <c r="K69" s="34"/>
      <c r="L69" s="34"/>
      <c r="M69" s="34"/>
      <c r="N69" s="34"/>
      <c r="O69" s="34"/>
      <c r="P69" s="34"/>
      <c r="Q69" s="34"/>
      <c r="R69" s="34"/>
      <c r="S69" s="34"/>
    </row>
    <row r="70" spans="1:37" ht="40.5" customHeight="1">
      <c r="A70" s="273" t="s">
        <v>7</v>
      </c>
      <c r="B70" s="291" t="s">
        <v>127</v>
      </c>
      <c r="C70" s="291" t="s">
        <v>421</v>
      </c>
      <c r="D70" s="291" t="s">
        <v>422</v>
      </c>
      <c r="E70" s="291" t="s">
        <v>142</v>
      </c>
      <c r="F70" s="348" t="s">
        <v>126</v>
      </c>
      <c r="G70" s="34"/>
      <c r="H70" s="34"/>
      <c r="I70" s="34"/>
      <c r="J70" s="34"/>
      <c r="K70" s="34"/>
      <c r="L70" s="34"/>
      <c r="M70" s="34"/>
      <c r="N70" s="34"/>
      <c r="O70" s="34"/>
      <c r="P70" s="34"/>
      <c r="Q70" s="34"/>
      <c r="R70" s="34"/>
      <c r="S70" s="34"/>
      <c r="T70" s="22"/>
      <c r="U70" s="22"/>
      <c r="V70" s="22"/>
      <c r="W70" s="22"/>
      <c r="X70" s="22"/>
      <c r="Y70" s="22"/>
      <c r="Z70" s="22"/>
      <c r="AA70" s="22"/>
      <c r="AB70" s="22"/>
      <c r="AC70" s="22"/>
      <c r="AD70" s="22"/>
      <c r="AE70" s="22"/>
      <c r="AF70" s="22"/>
      <c r="AG70" s="22"/>
      <c r="AH70" s="22"/>
      <c r="AI70" s="22"/>
      <c r="AJ70" s="22"/>
      <c r="AK70" s="22"/>
    </row>
    <row r="71" spans="1:37" ht="46.5" customHeight="1">
      <c r="A71" s="293" t="s">
        <v>81</v>
      </c>
      <c r="B71" s="251" t="s">
        <v>458</v>
      </c>
      <c r="C71" s="310"/>
      <c r="D71" s="310"/>
      <c r="E71" s="294" t="str">
        <f>IF(D71=B123,2,IF(D71=C123,1,IF(D71=D123,0,"")))</f>
        <v/>
      </c>
      <c r="F71" s="295" t="s">
        <v>132</v>
      </c>
      <c r="G71" s="34"/>
      <c r="H71" s="34"/>
      <c r="I71" s="34"/>
      <c r="J71" s="34"/>
      <c r="K71" s="34"/>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row>
    <row r="72" spans="1:37" ht="41.5" customHeight="1">
      <c r="A72" s="498" t="s">
        <v>83</v>
      </c>
      <c r="B72" s="315" t="s">
        <v>459</v>
      </c>
      <c r="C72" s="353"/>
      <c r="D72" s="353"/>
      <c r="E72" s="294" t="str">
        <f>IF(D72=B124,2,IF(D72=C124,1.5,IF(D72=D124,1,IF(D72=E124,0.5,IF(D72=F124,0,"")))))</f>
        <v/>
      </c>
      <c r="F72" s="371" t="s">
        <v>443</v>
      </c>
      <c r="G72" s="34"/>
      <c r="H72" s="34"/>
      <c r="I72" s="34"/>
      <c r="J72" s="34"/>
      <c r="K72" s="34"/>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row>
    <row r="73" spans="1:37" ht="87" customHeight="1" thickBot="1">
      <c r="A73" s="298" t="s">
        <v>82</v>
      </c>
      <c r="B73" s="206" t="s">
        <v>1575</v>
      </c>
      <c r="C73" s="354"/>
      <c r="D73" s="354"/>
      <c r="E73" s="301" t="str">
        <f>IF(D73=B125,2,IF(D73=C125,1.5,IF(D73=D125,1,IF(D73=E125,0.5,IF(D73=F125,0,"")))))</f>
        <v/>
      </c>
      <c r="F73" s="299" t="s">
        <v>132</v>
      </c>
      <c r="G73" s="34"/>
      <c r="H73" s="34"/>
      <c r="I73" s="34"/>
      <c r="J73" s="34"/>
      <c r="K73" s="34"/>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row>
    <row r="74" spans="1:37" ht="20.25" customHeight="1">
      <c r="A74" s="22"/>
      <c r="B74" s="22"/>
      <c r="C74" s="22"/>
      <c r="D74" s="22"/>
      <c r="E74" s="151"/>
      <c r="F74" s="151"/>
      <c r="G74" s="34"/>
      <c r="H74" s="34"/>
      <c r="I74" s="34"/>
      <c r="J74" s="34"/>
      <c r="K74" s="34"/>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row>
    <row r="75" spans="1:37" ht="21.5" thickBot="1">
      <c r="A75" s="138" t="s">
        <v>1576</v>
      </c>
      <c r="B75" s="31"/>
      <c r="C75" s="31"/>
      <c r="D75" s="31"/>
      <c r="E75" s="152"/>
      <c r="F75" s="152"/>
      <c r="G75" s="34"/>
      <c r="H75" s="34"/>
      <c r="I75" s="34"/>
      <c r="J75" s="34"/>
      <c r="K75" s="34"/>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row>
    <row r="76" spans="1:37" ht="46.5" customHeight="1">
      <c r="A76" s="273" t="s">
        <v>7</v>
      </c>
      <c r="B76" s="291" t="s">
        <v>127</v>
      </c>
      <c r="C76" s="291" t="s">
        <v>421</v>
      </c>
      <c r="D76" s="291" t="s">
        <v>422</v>
      </c>
      <c r="E76" s="291" t="s">
        <v>142</v>
      </c>
      <c r="F76" s="348" t="s">
        <v>126</v>
      </c>
      <c r="G76" s="34"/>
      <c r="H76" s="34"/>
      <c r="I76" s="34"/>
      <c r="J76" s="34"/>
      <c r="K76" s="34"/>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row>
    <row r="77" spans="1:37" ht="48" customHeight="1" thickBot="1">
      <c r="A77" s="293" t="s">
        <v>460</v>
      </c>
      <c r="B77" s="251" t="s">
        <v>461</v>
      </c>
      <c r="C77" s="333"/>
      <c r="D77" s="333"/>
      <c r="E77" s="375" t="str">
        <f>IF(D77=B127,1,IF(D77=C127,0,""))</f>
        <v/>
      </c>
      <c r="F77" s="376" t="s">
        <v>132</v>
      </c>
      <c r="G77" s="34"/>
      <c r="H77" s="34"/>
      <c r="I77" s="34"/>
      <c r="J77" s="34"/>
      <c r="K77" s="34"/>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row>
    <row r="78" spans="1:37" ht="20.25" customHeight="1">
      <c r="A78" s="22"/>
      <c r="B78" s="22"/>
      <c r="C78" s="22"/>
      <c r="D78" s="22"/>
      <c r="E78" s="151"/>
      <c r="F78" s="151"/>
      <c r="G78" s="34"/>
      <c r="H78" s="34"/>
      <c r="I78" s="34"/>
      <c r="J78" s="34"/>
      <c r="K78" s="34"/>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row>
    <row r="79" spans="1:37" ht="21.5" thickBot="1">
      <c r="A79" s="138" t="s">
        <v>1577</v>
      </c>
      <c r="B79" s="31"/>
      <c r="C79" s="31"/>
      <c r="D79" s="31"/>
      <c r="E79" s="152"/>
      <c r="F79" s="152"/>
      <c r="G79" s="34"/>
      <c r="H79" s="34"/>
      <c r="I79" s="34"/>
      <c r="J79" s="34"/>
      <c r="K79" s="34"/>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row>
    <row r="80" spans="1:37" ht="42.75" customHeight="1">
      <c r="A80" s="273" t="s">
        <v>7</v>
      </c>
      <c r="B80" s="291" t="s">
        <v>127</v>
      </c>
      <c r="C80" s="291" t="s">
        <v>421</v>
      </c>
      <c r="D80" s="291" t="s">
        <v>422</v>
      </c>
      <c r="E80" s="291" t="s">
        <v>142</v>
      </c>
      <c r="F80" s="348" t="s">
        <v>126</v>
      </c>
      <c r="G80" s="34"/>
      <c r="H80" s="34"/>
      <c r="I80" s="34"/>
      <c r="J80" s="34"/>
      <c r="K80" s="34"/>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row>
    <row r="81" spans="1:37" ht="42" customHeight="1" thickBot="1">
      <c r="A81" s="293" t="s">
        <v>462</v>
      </c>
      <c r="B81" s="251" t="s">
        <v>463</v>
      </c>
      <c r="C81" s="333"/>
      <c r="D81" s="333"/>
      <c r="E81" s="375" t="str">
        <f>IF(D81=B128,1,IF(D81=C128,0,""))</f>
        <v/>
      </c>
      <c r="F81" s="376" t="s">
        <v>132</v>
      </c>
      <c r="G81" s="34"/>
      <c r="H81" s="34"/>
      <c r="I81" s="34"/>
      <c r="J81" s="34"/>
      <c r="K81" s="34"/>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row>
    <row r="82" spans="1:37" ht="24.75" customHeight="1" thickBot="1">
      <c r="A82" s="22"/>
      <c r="B82" s="22"/>
      <c r="C82" s="22"/>
      <c r="D82" s="22"/>
      <c r="E82" s="151"/>
      <c r="F82" s="151"/>
      <c r="G82" s="34"/>
      <c r="H82" s="34"/>
      <c r="I82" s="34"/>
      <c r="J82" s="34"/>
      <c r="K82" s="34"/>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row>
    <row r="83" spans="1:37" ht="30" customHeight="1" thickBot="1">
      <c r="A83" s="22"/>
      <c r="B83" s="22"/>
      <c r="C83" s="22"/>
      <c r="D83" s="328" t="s">
        <v>175</v>
      </c>
      <c r="E83" s="494">
        <f>SUM(E34:E37,E41:E43,E47:E50,E54:E55,E59:E63,E67,E71:E73,E77,E81)</f>
        <v>0</v>
      </c>
      <c r="F83" s="159"/>
      <c r="G83" s="34"/>
      <c r="H83" s="34"/>
      <c r="I83" s="34"/>
      <c r="J83" s="34"/>
      <c r="K83" s="34"/>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row>
    <row r="84" spans="1:37" s="22" customFormat="1" ht="17.25" customHeight="1">
      <c r="A84" s="140" t="s">
        <v>6</v>
      </c>
      <c r="B84" s="40"/>
    </row>
    <row r="85" spans="1:37" s="22" customFormat="1"/>
    <row r="86" spans="1:37" s="22" customFormat="1"/>
    <row r="87" spans="1:37" s="22" customFormat="1" ht="18" customHeight="1">
      <c r="A87" s="29"/>
    </row>
    <row r="88" spans="1:37" s="22" customFormat="1">
      <c r="A88" s="29"/>
    </row>
    <row r="89" spans="1:37" s="22" customFormat="1" ht="17.5" hidden="1" customHeight="1">
      <c r="A89" s="29"/>
    </row>
    <row r="90" spans="1:37" s="22" customFormat="1" hidden="1">
      <c r="A90" s="78" t="s">
        <v>176</v>
      </c>
      <c r="B90" s="10"/>
      <c r="C90" s="79"/>
    </row>
    <row r="91" spans="1:37" s="22" customFormat="1" hidden="1">
      <c r="A91" t="s">
        <v>464</v>
      </c>
      <c r="B91" t="s">
        <v>179</v>
      </c>
      <c r="C91" t="s">
        <v>180</v>
      </c>
      <c r="D91" t="s">
        <v>181</v>
      </c>
      <c r="E91" t="s">
        <v>182</v>
      </c>
      <c r="F91" t="s">
        <v>465</v>
      </c>
    </row>
    <row r="92" spans="1:37" s="22" customFormat="1" hidden="1">
      <c r="A92" s="77" t="s">
        <v>466</v>
      </c>
      <c r="B92" s="76"/>
      <c r="C92" s="76"/>
      <c r="D92" s="76"/>
      <c r="E92" s="76"/>
      <c r="F92" s="34"/>
    </row>
    <row r="93" spans="1:37" s="22" customFormat="1" hidden="1">
      <c r="A93" s="76" t="s">
        <v>467</v>
      </c>
      <c r="B93" s="76" t="s">
        <v>468</v>
      </c>
      <c r="C93" s="76" t="s">
        <v>469</v>
      </c>
      <c r="D93" s="76"/>
      <c r="E93" s="76"/>
      <c r="F93" s="34"/>
    </row>
    <row r="94" spans="1:37" s="22" customFormat="1" hidden="1">
      <c r="A94" s="76"/>
      <c r="B94" s="76"/>
      <c r="C94" s="76"/>
      <c r="D94" s="76"/>
      <c r="E94" s="76"/>
      <c r="F94" s="34"/>
    </row>
    <row r="95" spans="1:37" s="22" customFormat="1" hidden="1">
      <c r="A95" s="76"/>
      <c r="B95" s="76"/>
      <c r="C95" s="76"/>
      <c r="D95" s="76"/>
      <c r="E95" s="76"/>
      <c r="F95" s="34"/>
    </row>
    <row r="96" spans="1:37" s="22" customFormat="1" hidden="1">
      <c r="A96" s="76"/>
      <c r="B96" s="76"/>
      <c r="C96" s="76"/>
      <c r="D96" s="76"/>
      <c r="E96" s="76"/>
      <c r="F96" s="34"/>
    </row>
    <row r="97" spans="1:7" s="22" customFormat="1" hidden="1">
      <c r="A97" s="77" t="s">
        <v>470</v>
      </c>
      <c r="B97" s="76"/>
      <c r="C97" s="76"/>
      <c r="D97" s="76"/>
      <c r="E97" s="76"/>
      <c r="F97"/>
    </row>
    <row r="98" spans="1:7" s="22" customFormat="1" hidden="1">
      <c r="A98" s="76" t="s">
        <v>209</v>
      </c>
      <c r="B98" s="76" t="s">
        <v>471</v>
      </c>
      <c r="C98" s="76" t="s">
        <v>472</v>
      </c>
      <c r="D98" s="76" t="s">
        <v>473</v>
      </c>
      <c r="E98" s="76"/>
      <c r="F98" s="76"/>
    </row>
    <row r="99" spans="1:7" s="22" customFormat="1" hidden="1">
      <c r="A99" s="76" t="s">
        <v>212</v>
      </c>
      <c r="B99" s="76" t="s">
        <v>474</v>
      </c>
      <c r="C99" s="76" t="s">
        <v>475</v>
      </c>
      <c r="D99" s="76"/>
      <c r="E99" s="76"/>
      <c r="F99" s="76"/>
    </row>
    <row r="100" spans="1:7" s="22" customFormat="1" hidden="1">
      <c r="A100" s="76" t="s">
        <v>216</v>
      </c>
      <c r="B100" s="76" t="s">
        <v>476</v>
      </c>
      <c r="C100" s="258" t="s">
        <v>477</v>
      </c>
      <c r="D100" s="76" t="s">
        <v>478</v>
      </c>
      <c r="E100" s="76"/>
      <c r="F100" s="34"/>
      <c r="G100" s="34"/>
    </row>
    <row r="101" spans="1:7" s="22" customFormat="1" hidden="1">
      <c r="A101" s="76" t="s">
        <v>353</v>
      </c>
      <c r="B101" s="258" t="s">
        <v>479</v>
      </c>
      <c r="C101" s="258" t="s">
        <v>1542</v>
      </c>
      <c r="D101" s="258" t="s">
        <v>1543</v>
      </c>
      <c r="E101" s="76"/>
      <c r="F101" s="34"/>
      <c r="G101" s="34"/>
    </row>
    <row r="102" spans="1:7" s="22" customFormat="1" hidden="1">
      <c r="A102" s="77" t="s">
        <v>406</v>
      </c>
      <c r="B102" s="76"/>
      <c r="C102" s="76"/>
      <c r="D102" s="76"/>
      <c r="E102" s="76"/>
      <c r="F102" s="76"/>
      <c r="G102" s="34"/>
    </row>
    <row r="103" spans="1:7" s="22" customFormat="1" hidden="1">
      <c r="A103" t="s">
        <v>204</v>
      </c>
      <c r="B103" s="76" t="s">
        <v>480</v>
      </c>
      <c r="C103" s="76" t="s">
        <v>481</v>
      </c>
      <c r="D103" s="76" t="s">
        <v>482</v>
      </c>
      <c r="E103" s="76" t="s">
        <v>483</v>
      </c>
      <c r="F103" s="76" t="s">
        <v>484</v>
      </c>
      <c r="G103" s="34"/>
    </row>
    <row r="104" spans="1:7" s="22" customFormat="1" hidden="1">
      <c r="A104" s="76" t="s">
        <v>342</v>
      </c>
      <c r="B104" s="258" t="s">
        <v>485</v>
      </c>
      <c r="C104" s="258" t="s">
        <v>486</v>
      </c>
      <c r="D104" s="258" t="s">
        <v>487</v>
      </c>
      <c r="E104" s="76"/>
      <c r="F104" s="76"/>
      <c r="G104" s="34"/>
    </row>
    <row r="105" spans="1:7" s="22" customFormat="1" hidden="1">
      <c r="A105" s="76" t="s">
        <v>488</v>
      </c>
      <c r="B105" s="76" t="s">
        <v>489</v>
      </c>
      <c r="C105" s="76" t="s">
        <v>490</v>
      </c>
      <c r="D105" s="76" t="s">
        <v>491</v>
      </c>
      <c r="E105" s="76" t="s">
        <v>492</v>
      </c>
      <c r="F105" s="76" t="s">
        <v>493</v>
      </c>
      <c r="G105" s="76"/>
    </row>
    <row r="106" spans="1:7" s="22" customFormat="1" hidden="1">
      <c r="A106" s="77" t="s">
        <v>494</v>
      </c>
      <c r="B106" s="76"/>
      <c r="C106" s="76"/>
      <c r="D106" s="76"/>
      <c r="E106" s="76"/>
      <c r="F106" s="76"/>
      <c r="G106" s="34"/>
    </row>
    <row r="107" spans="1:7" s="22" customFormat="1" hidden="1">
      <c r="A107" s="76" t="s">
        <v>373</v>
      </c>
      <c r="B107" s="76" t="s">
        <v>495</v>
      </c>
      <c r="C107" s="76" t="s">
        <v>496</v>
      </c>
      <c r="D107" s="76" t="s">
        <v>497</v>
      </c>
      <c r="E107" s="76"/>
      <c r="F107" s="34"/>
      <c r="G107" s="34"/>
    </row>
    <row r="108" spans="1:7" s="22" customFormat="1" hidden="1">
      <c r="A108" s="76" t="s">
        <v>377</v>
      </c>
      <c r="B108" s="76" t="s">
        <v>498</v>
      </c>
      <c r="C108" s="76" t="s">
        <v>499</v>
      </c>
      <c r="D108" s="76"/>
      <c r="E108" s="76"/>
      <c r="F108" s="34"/>
      <c r="G108" s="34"/>
    </row>
    <row r="109" spans="1:7" s="22" customFormat="1" ht="15" hidden="1" thickBot="1">
      <c r="A109" s="76" t="s">
        <v>225</v>
      </c>
      <c r="B109" s="258" t="s">
        <v>500</v>
      </c>
      <c r="C109" s="258" t="s">
        <v>501</v>
      </c>
      <c r="D109" s="76" t="s">
        <v>502</v>
      </c>
      <c r="E109" s="76"/>
      <c r="F109" s="76"/>
      <c r="G109" s="34"/>
    </row>
    <row r="110" spans="1:7" s="22" customFormat="1" ht="15" hidden="1" thickBot="1">
      <c r="A110" s="76" t="s">
        <v>230</v>
      </c>
      <c r="B110" s="258" t="s">
        <v>503</v>
      </c>
      <c r="C110" s="258" t="s">
        <v>1544</v>
      </c>
      <c r="D110" s="258" t="s">
        <v>504</v>
      </c>
      <c r="E110" s="76"/>
      <c r="F110" s="242"/>
      <c r="G110" s="34"/>
    </row>
    <row r="111" spans="1:7" s="22" customFormat="1" hidden="1">
      <c r="A111" s="77" t="s">
        <v>408</v>
      </c>
      <c r="B111" s="76"/>
      <c r="C111" s="76"/>
      <c r="D111" s="76"/>
      <c r="E111" s="76"/>
      <c r="F111" s="34"/>
      <c r="G111" s="34"/>
    </row>
    <row r="112" spans="1:7" s="22" customFormat="1" hidden="1">
      <c r="A112" t="s">
        <v>369</v>
      </c>
      <c r="B112" s="76" t="s">
        <v>505</v>
      </c>
      <c r="C112" s="76" t="s">
        <v>506</v>
      </c>
      <c r="D112" s="76" t="s">
        <v>507</v>
      </c>
      <c r="E112" s="76" t="s">
        <v>508</v>
      </c>
      <c r="F112" s="76" t="s">
        <v>509</v>
      </c>
      <c r="G112" s="34"/>
    </row>
    <row r="113" spans="1:8" s="22" customFormat="1" hidden="1">
      <c r="A113" t="s">
        <v>373</v>
      </c>
      <c r="B113" s="76" t="s">
        <v>510</v>
      </c>
      <c r="C113" s="76" t="s">
        <v>1545</v>
      </c>
      <c r="D113" s="76" t="s">
        <v>1546</v>
      </c>
      <c r="E113" s="76" t="s">
        <v>1547</v>
      </c>
      <c r="F113" s="76" t="s">
        <v>511</v>
      </c>
      <c r="G113" s="34"/>
    </row>
    <row r="114" spans="1:8" s="22" customFormat="1" hidden="1">
      <c r="A114" s="1" t="s">
        <v>409</v>
      </c>
      <c r="B114" s="76"/>
      <c r="C114" s="76"/>
      <c r="D114" s="76"/>
      <c r="E114" s="76"/>
      <c r="F114" s="76"/>
      <c r="G114" s="34"/>
    </row>
    <row r="115" spans="1:8" s="22" customFormat="1" hidden="1">
      <c r="A115" t="s">
        <v>512</v>
      </c>
      <c r="B115" s="258" t="s">
        <v>1548</v>
      </c>
      <c r="C115" s="76" t="s">
        <v>513</v>
      </c>
      <c r="D115" s="258" t="s">
        <v>1549</v>
      </c>
      <c r="E115" s="76"/>
      <c r="F115" s="76"/>
      <c r="G115" s="34"/>
    </row>
    <row r="116" spans="1:8" s="22" customFormat="1" hidden="1">
      <c r="A116" t="s">
        <v>514</v>
      </c>
      <c r="B116" s="76" t="s">
        <v>515</v>
      </c>
      <c r="C116" s="76" t="s">
        <v>516</v>
      </c>
      <c r="D116" s="76" t="s">
        <v>517</v>
      </c>
      <c r="E116" s="76"/>
      <c r="F116" s="34"/>
      <c r="G116" s="34"/>
    </row>
    <row r="117" spans="1:8" s="22" customFormat="1" ht="15" hidden="1" thickBot="1">
      <c r="A117" t="s">
        <v>247</v>
      </c>
      <c r="B117" s="258" t="s">
        <v>518</v>
      </c>
      <c r="C117" s="258" t="s">
        <v>519</v>
      </c>
      <c r="D117" s="76"/>
      <c r="E117" s="76"/>
      <c r="F117" s="76"/>
      <c r="G117" s="34" t="s">
        <v>520</v>
      </c>
      <c r="H117" s="22" t="s">
        <v>521</v>
      </c>
    </row>
    <row r="118" spans="1:8" s="22" customFormat="1" ht="15" hidden="1" thickBot="1">
      <c r="A118" t="s">
        <v>251</v>
      </c>
      <c r="B118" s="258" t="s">
        <v>522</v>
      </c>
      <c r="C118" s="269" t="s">
        <v>523</v>
      </c>
      <c r="D118" s="76"/>
      <c r="E118" s="76"/>
      <c r="F118" s="34"/>
      <c r="G118" s="34"/>
    </row>
    <row r="119" spans="1:8" s="22" customFormat="1" hidden="1">
      <c r="A119" s="76" t="s">
        <v>524</v>
      </c>
      <c r="B119" s="258" t="s">
        <v>525</v>
      </c>
      <c r="C119" s="268" t="s">
        <v>1550</v>
      </c>
      <c r="D119" s="76"/>
      <c r="E119" s="76"/>
      <c r="F119" s="34"/>
      <c r="G119" s="34"/>
    </row>
    <row r="120" spans="1:8" s="22" customFormat="1" hidden="1">
      <c r="A120" s="1" t="s">
        <v>526</v>
      </c>
      <c r="B120" s="258"/>
      <c r="C120" s="258"/>
      <c r="D120" s="258"/>
      <c r="E120" s="258"/>
      <c r="F120" s="258"/>
      <c r="G120" s="34"/>
    </row>
    <row r="121" spans="1:8" s="22" customFormat="1" hidden="1">
      <c r="A121" t="s">
        <v>527</v>
      </c>
      <c r="B121" s="258" t="s">
        <v>528</v>
      </c>
      <c r="C121" s="258" t="s">
        <v>529</v>
      </c>
      <c r="D121" s="258" t="s">
        <v>530</v>
      </c>
      <c r="E121" s="258" t="s">
        <v>531</v>
      </c>
      <c r="F121" s="258" t="s">
        <v>532</v>
      </c>
      <c r="G121" s="34"/>
    </row>
    <row r="122" spans="1:8" s="22" customFormat="1" hidden="1">
      <c r="A122" s="1" t="s">
        <v>411</v>
      </c>
      <c r="B122" s="76"/>
      <c r="C122" s="76"/>
      <c r="D122" s="76"/>
      <c r="E122" s="76"/>
      <c r="F122" s="76"/>
      <c r="G122" s="34"/>
    </row>
    <row r="123" spans="1:8" s="22" customFormat="1" hidden="1">
      <c r="A123" t="s">
        <v>533</v>
      </c>
      <c r="B123" s="258" t="s">
        <v>534</v>
      </c>
      <c r="C123" s="258" t="s">
        <v>535</v>
      </c>
      <c r="D123" s="258" t="s">
        <v>536</v>
      </c>
      <c r="E123" s="258"/>
      <c r="F123" s="258"/>
      <c r="G123" s="34"/>
    </row>
    <row r="124" spans="1:8" s="22" customFormat="1" hidden="1">
      <c r="A124" t="s">
        <v>537</v>
      </c>
      <c r="B124" s="258" t="s">
        <v>538</v>
      </c>
      <c r="C124" s="258" t="s">
        <v>539</v>
      </c>
      <c r="D124" s="258" t="s">
        <v>540</v>
      </c>
      <c r="E124" s="258" t="s">
        <v>541</v>
      </c>
      <c r="F124" s="258" t="s">
        <v>1525</v>
      </c>
      <c r="G124" s="34"/>
    </row>
    <row r="125" spans="1:8" s="22" customFormat="1" hidden="1">
      <c r="A125" s="76" t="s">
        <v>542</v>
      </c>
      <c r="B125" s="258" t="s">
        <v>543</v>
      </c>
      <c r="C125" s="258" t="s">
        <v>544</v>
      </c>
      <c r="D125" s="258" t="s">
        <v>545</v>
      </c>
      <c r="E125" s="258" t="s">
        <v>546</v>
      </c>
      <c r="F125" s="258" t="s">
        <v>1586</v>
      </c>
      <c r="G125" s="267"/>
    </row>
    <row r="126" spans="1:8" s="22" customFormat="1" hidden="1">
      <c r="A126" s="77" t="s">
        <v>460</v>
      </c>
      <c r="B126" s="76"/>
      <c r="C126" s="76"/>
      <c r="D126" s="76"/>
      <c r="E126" s="76"/>
      <c r="F126" s="34"/>
      <c r="G126" s="34"/>
    </row>
    <row r="127" spans="1:8" s="22" customFormat="1" hidden="1">
      <c r="A127" s="76" t="s">
        <v>547</v>
      </c>
      <c r="B127" s="76" t="s">
        <v>548</v>
      </c>
      <c r="C127" s="76" t="s">
        <v>549</v>
      </c>
      <c r="D127" s="76"/>
      <c r="E127" s="76"/>
      <c r="F127" s="34"/>
      <c r="G127" s="34"/>
    </row>
    <row r="128" spans="1:8" s="22" customFormat="1" hidden="1">
      <c r="A128" s="76" t="s">
        <v>550</v>
      </c>
      <c r="B128" s="258" t="s">
        <v>551</v>
      </c>
      <c r="C128" s="258" t="s">
        <v>552</v>
      </c>
      <c r="D128" s="76"/>
      <c r="E128" s="76"/>
      <c r="F128" s="34"/>
      <c r="G128" s="34"/>
    </row>
    <row r="129" spans="2:7" s="22" customFormat="1" hidden="1">
      <c r="B129" s="267"/>
      <c r="C129" s="267"/>
      <c r="D129" s="34"/>
      <c r="E129" s="34"/>
      <c r="F129" s="34"/>
      <c r="G129" s="34"/>
    </row>
    <row r="130" spans="2:7" s="22" customFormat="1" hidden="1"/>
    <row r="131" spans="2:7" s="22" customFormat="1"/>
    <row r="132" spans="2:7" s="22" customFormat="1"/>
    <row r="133" spans="2:7" s="22" customFormat="1"/>
    <row r="134" spans="2:7" s="22" customFormat="1">
      <c r="F134"/>
    </row>
    <row r="135" spans="2:7" s="22" customFormat="1"/>
    <row r="136" spans="2:7" s="22" customFormat="1"/>
    <row r="137" spans="2:7" s="22" customFormat="1"/>
    <row r="138" spans="2:7" s="22" customFormat="1"/>
    <row r="139" spans="2:7" s="22" customFormat="1"/>
    <row r="140" spans="2:7" s="22" customFormat="1"/>
    <row r="141" spans="2:7" s="22" customFormat="1"/>
    <row r="142" spans="2:7" s="22" customFormat="1"/>
    <row r="143" spans="2:7" s="22" customFormat="1"/>
    <row r="144" spans="2:7" s="22" customFormat="1"/>
    <row r="145" spans="1:38" s="22" customFormat="1"/>
    <row r="146" spans="1:38" s="22" customFormat="1"/>
    <row r="147" spans="1:38">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row>
    <row r="148" spans="1:38">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row>
    <row r="149" spans="1:38">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row>
    <row r="150" spans="1:38">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row>
    <row r="151" spans="1:38">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row>
    <row r="152" spans="1:38">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row>
    <row r="153" spans="1:38">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row>
    <row r="154" spans="1:38">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row>
    <row r="155" spans="1:38">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row>
    <row r="156" spans="1:38">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row>
    <row r="157" spans="1:38">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row>
    <row r="158" spans="1:38">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row>
    <row r="159" spans="1:38">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row>
    <row r="160" spans="1:38">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row>
    <row r="161" spans="1:39">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row>
    <row r="162" spans="1:39">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row>
    <row r="163" spans="1:39">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row>
    <row r="164" spans="1:39">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row>
    <row r="165" spans="1:39">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row>
    <row r="166" spans="1:39">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row>
    <row r="167" spans="1:39">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row>
    <row r="168" spans="1:39">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row>
    <row r="169" spans="1:39">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row>
    <row r="170" spans="1:39">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row>
    <row r="171" spans="1:39">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row>
    <row r="172" spans="1:39">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row>
    <row r="173" spans="1:39">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row>
    <row r="174" spans="1:39">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row>
    <row r="175" spans="1:39">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row>
    <row r="176" spans="1:39">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row>
    <row r="177" spans="1:39">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row>
    <row r="178" spans="1:39">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row>
    <row r="179" spans="1:39">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row>
    <row r="180" spans="1:39">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row>
    <row r="181" spans="1:39">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row>
    <row r="182" spans="1:39">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row>
    <row r="183" spans="1:39">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row>
    <row r="184" spans="1:39">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row>
    <row r="185" spans="1:39">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row>
    <row r="186" spans="1:39">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row>
    <row r="187" spans="1:39">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row>
    <row r="188" spans="1:39">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row>
    <row r="189" spans="1:39">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row>
    <row r="190" spans="1:39">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row>
    <row r="191" spans="1:39">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row>
    <row r="192" spans="1:39">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row>
    <row r="193" spans="1:39">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row>
    <row r="194" spans="1:39">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row>
    <row r="195" spans="1:39">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row>
    <row r="196" spans="1:39">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row>
    <row r="197" spans="1:39">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row>
  </sheetData>
  <sheetProtection algorithmName="SHA-512" hashValue="eA/GXumXrcXy5oS28kRaWYIovgWhK347YsCI4dSyFyJn1aBdtILYbycKsNnpUiTgDymi1r370igb2FOMkQzeTQ==" saltValue="frm7t6ufdvb8hoq42IuO/A==" spinCount="100000" sheet="1" objects="1" scenarios="1"/>
  <customSheetViews>
    <customSheetView guid="{52A26A5D-FD00-480B-943F-DB06B537D6D8}" scale="90" hiddenRows="1" topLeftCell="A7">
      <selection activeCell="C49" sqref="C49"/>
      <rowBreaks count="1" manualBreakCount="1">
        <brk id="32" max="16383" man="1"/>
      </rowBreaks>
      <pageMargins left="0" right="0" top="0" bottom="0" header="0" footer="0"/>
      <pageSetup scale="45" orientation="landscape" r:id="rId1"/>
    </customSheetView>
    <customSheetView guid="{EF22FA0B-F747-41C1-93DE-56651BBC6020}" scale="70" hiddenRows="1">
      <selection sqref="A1:F1"/>
      <rowBreaks count="1" manualBreakCount="1">
        <brk id="32" max="16383" man="1"/>
      </rowBreaks>
      <pageMargins left="0" right="0" top="0" bottom="0" header="0" footer="0"/>
      <pageSetup scale="45" orientation="landscape" r:id="rId2"/>
    </customSheetView>
  </customSheetViews>
  <mergeCells count="14">
    <mergeCell ref="A1:F1"/>
    <mergeCell ref="B25:C25"/>
    <mergeCell ref="B14:D14"/>
    <mergeCell ref="B26:C26"/>
    <mergeCell ref="B15:C15"/>
    <mergeCell ref="B18:C18"/>
    <mergeCell ref="B16:C16"/>
    <mergeCell ref="B20:C20"/>
    <mergeCell ref="B21:C21"/>
    <mergeCell ref="B22:C22"/>
    <mergeCell ref="B17:C17"/>
    <mergeCell ref="B19:C19"/>
    <mergeCell ref="B23:C23"/>
    <mergeCell ref="B24:C24"/>
  </mergeCells>
  <dataValidations count="25">
    <dataValidation type="list" allowBlank="1" showInputMessage="1" showErrorMessage="1" sqref="D61" xr:uid="{00000000-0002-0000-0500-000000000000}">
      <formula1>$B$116:$E$116</formula1>
    </dataValidation>
    <dataValidation type="list" allowBlank="1" showInputMessage="1" showErrorMessage="1" sqref="D35" xr:uid="{00000000-0002-0000-0500-000002000000}">
      <formula1>$B$99:$D$99</formula1>
    </dataValidation>
    <dataValidation type="list" allowBlank="1" showInputMessage="1" showErrorMessage="1" sqref="D34" xr:uid="{00000000-0002-0000-0500-000003000000}">
      <formula1>$B$98:$E$98</formula1>
    </dataValidation>
    <dataValidation type="list" allowBlank="1" showInputMessage="1" showErrorMessage="1" sqref="D42" xr:uid="{00000000-0002-0000-0500-000004000000}">
      <formula1>$B$104:$E$104</formula1>
    </dataValidation>
    <dataValidation type="list" allowBlank="1" showInputMessage="1" showErrorMessage="1" sqref="D48" xr:uid="{00000000-0002-0000-0500-000007000000}">
      <formula1>$B$108:$D$108</formula1>
    </dataValidation>
    <dataValidation type="list" allowBlank="1" showInputMessage="1" showErrorMessage="1" sqref="D60" xr:uid="{00000000-0002-0000-0500-000008000000}">
      <formula1>$B$117:$D$117</formula1>
    </dataValidation>
    <dataValidation type="list" allowBlank="1" showInputMessage="1" showErrorMessage="1" sqref="D41" xr:uid="{00000000-0002-0000-0500-00000A000000}">
      <formula1>$B$103:$G$103</formula1>
    </dataValidation>
    <dataValidation type="list" allowBlank="1" showInputMessage="1" showErrorMessage="1" sqref="D55" xr:uid="{00000000-0002-0000-0500-00000B000000}">
      <formula1>$B$113:$G$113</formula1>
    </dataValidation>
    <dataValidation type="list" allowBlank="1" showInputMessage="1" showErrorMessage="1" sqref="D54" xr:uid="{00000000-0002-0000-0500-00000C000000}">
      <formula1>$B$112:$G$112</formula1>
    </dataValidation>
    <dataValidation type="list" allowBlank="1" showInputMessage="1" showErrorMessage="1" sqref="D15" xr:uid="{00000000-0002-0000-0500-00000E000000}">
      <formula1>$B$93:$D$93</formula1>
    </dataValidation>
    <dataValidation type="list" allowBlank="1" showInputMessage="1" showErrorMessage="1" sqref="D43" xr:uid="{00000000-0002-0000-0500-00000F000000}">
      <formula1>$B$105:$G$105</formula1>
    </dataValidation>
    <dataValidation type="list" allowBlank="1" showInputMessage="1" showErrorMessage="1" sqref="D37" xr:uid="{00000000-0002-0000-0500-000011000000}">
      <formula1>$B$101:$E$101</formula1>
    </dataValidation>
    <dataValidation type="list" allowBlank="1" showInputMessage="1" showErrorMessage="1" sqref="D47" xr:uid="{00000000-0002-0000-0500-000013000000}">
      <formula1>$B$107:$E$107</formula1>
    </dataValidation>
    <dataValidation type="list" allowBlank="1" showInputMessage="1" showErrorMessage="1" sqref="D62" xr:uid="{00000000-0002-0000-0500-000015000000}">
      <formula1>$B$118:$D$118</formula1>
    </dataValidation>
    <dataValidation type="list" allowBlank="1" showInputMessage="1" showErrorMessage="1" sqref="D50" xr:uid="{00000000-0002-0000-0500-000006000000}">
      <formula1>$B$110:$E$110</formula1>
    </dataValidation>
    <dataValidation type="list" allowBlank="1" showInputMessage="1" showErrorMessage="1" sqref="D77" xr:uid="{4E3581DF-1DBC-43FE-B03F-87AECADCD393}">
      <formula1>$B$127:$D$127</formula1>
    </dataValidation>
    <dataValidation type="list" allowBlank="1" showInputMessage="1" showErrorMessage="1" sqref="D36" xr:uid="{00000000-0002-0000-0500-000010000000}">
      <formula1>$B$100:$E$100</formula1>
    </dataValidation>
    <dataValidation type="list" allowBlank="1" showInputMessage="1" showErrorMessage="1" sqref="D49" xr:uid="{00000000-0002-0000-0500-000012000000}">
      <formula1>$B$109:$E$109</formula1>
    </dataValidation>
    <dataValidation type="list" allowBlank="1" showInputMessage="1" showErrorMessage="1" sqref="D59" xr:uid="{00000000-0002-0000-0500-000009000000}">
      <formula1>$B$115:$E$115</formula1>
    </dataValidation>
    <dataValidation type="list" allowBlank="1" showInputMessage="1" showErrorMessage="1" sqref="D63" xr:uid="{4CBD5237-3F49-4D53-8FDF-72F632396074}">
      <formula1>$B$119:$D$119</formula1>
    </dataValidation>
    <dataValidation type="list" allowBlank="1" showInputMessage="1" showErrorMessage="1" sqref="D67" xr:uid="{00000000-0002-0000-0500-000001000000}">
      <formula1>$B$121:$G$121</formula1>
    </dataValidation>
    <dataValidation type="list" allowBlank="1" showInputMessage="1" showErrorMessage="1" sqref="D71" xr:uid="{00000000-0002-0000-0500-000016000000}">
      <formula1>$B$123:$E$123</formula1>
    </dataValidation>
    <dataValidation type="list" allowBlank="1" showInputMessage="1" showErrorMessage="1" sqref="D73" xr:uid="{00000000-0002-0000-0500-00000D000000}">
      <formula1>$B$125:$G$125</formula1>
    </dataValidation>
    <dataValidation type="list" allowBlank="1" showInputMessage="1" showErrorMessage="1" sqref="D72" xr:uid="{00000000-0002-0000-0500-000017000000}">
      <formula1>$B$124:$G$124</formula1>
    </dataValidation>
    <dataValidation type="list" allowBlank="1" showInputMessage="1" showErrorMessage="1" sqref="D81" xr:uid="{C0D6F87D-B54E-423C-BBB7-FC5A5BFDE33D}">
      <formula1>$B$128:$D$128</formula1>
    </dataValidation>
  </dataValidations>
  <hyperlinks>
    <hyperlink ref="F55" r:id="rId3" display="H+T affordability index" xr:uid="{00000000-0004-0000-0500-000001000000}"/>
    <hyperlink ref="E25" r:id="rId4" xr:uid="{00000000-0004-0000-0500-000002000000}"/>
    <hyperlink ref="F42" r:id="rId5" xr:uid="{00000000-0004-0000-0500-000003000000}"/>
    <hyperlink ref="E26" r:id="rId6" location="tables" xr:uid="{00000000-0004-0000-0500-000005000000}"/>
    <hyperlink ref="F61" r:id="rId7" xr:uid="{00000000-0004-0000-0500-000006000000}"/>
    <hyperlink ref="F72" r:id="rId8" display="All Transit CNT Score" xr:uid="{5DD1123D-80E1-4434-8D0B-BE42AA96435C}"/>
    <hyperlink ref="F50" r:id="rId9" xr:uid="{EF7B1F88-DFC6-4054-A9F0-C8DAC73D0EDB}"/>
    <hyperlink ref="E23" r:id="rId10" xr:uid="{691FAD39-1553-4368-B03E-261E04BEC9FA}"/>
  </hyperlinks>
  <pageMargins left="0.7" right="0.7" top="0.75" bottom="0.75" header="0.3" footer="0.3"/>
  <pageSetup scale="45" orientation="landscape" r:id="rId11"/>
  <ignoredErrors>
    <ignoredError sqref="E61" formula="1"/>
  </ignoredErrors>
  <drawing r:id="rId12"/>
  <legacyDrawing r:id="rId13"/>
  <tableParts count="1">
    <tablePart r:id="rId1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outlinePr summaryBelow="0" summaryRight="0"/>
  </sheetPr>
  <dimension ref="A1:Z280"/>
  <sheetViews>
    <sheetView zoomScale="60" zoomScaleNormal="60" workbookViewId="0">
      <selection activeCell="D12" sqref="D12"/>
    </sheetView>
  </sheetViews>
  <sheetFormatPr defaultColWidth="9.1796875" defaultRowHeight="14.5"/>
  <cols>
    <col min="1" max="1" width="57.453125" style="145" customWidth="1"/>
    <col min="2" max="2" width="50.453125" customWidth="1"/>
    <col min="3" max="3" width="41.81640625" customWidth="1"/>
    <col min="4" max="4" width="57.1796875" customWidth="1"/>
    <col min="5" max="5" width="26.7265625" customWidth="1"/>
    <col min="6" max="6" width="23.54296875" style="134" customWidth="1"/>
    <col min="7" max="7" width="11" customWidth="1"/>
    <col min="8" max="8" width="18.453125" customWidth="1"/>
    <col min="9" max="9" width="11" customWidth="1"/>
    <col min="10" max="10" width="20.453125" customWidth="1"/>
    <col min="11" max="11" width="21.1796875" bestFit="1" customWidth="1"/>
    <col min="12" max="12" width="11" customWidth="1"/>
  </cols>
  <sheetData>
    <row r="1" spans="1:26" ht="26">
      <c r="A1" s="583" t="s">
        <v>86</v>
      </c>
      <c r="B1" s="583"/>
      <c r="C1" s="583"/>
      <c r="D1" s="583"/>
      <c r="E1" s="583"/>
      <c r="F1" s="583"/>
      <c r="G1" s="22"/>
      <c r="H1" s="22"/>
      <c r="I1" s="22"/>
      <c r="J1" s="22"/>
      <c r="K1" s="22"/>
      <c r="L1" s="22"/>
      <c r="M1" s="22"/>
      <c r="N1" s="22"/>
      <c r="O1" s="22"/>
      <c r="P1" s="22"/>
      <c r="Q1" s="22"/>
    </row>
    <row r="2" spans="1:26" s="22" customFormat="1" ht="20.25" customHeight="1" thickBot="1">
      <c r="A2" s="220"/>
      <c r="B2" s="21"/>
      <c r="C2" s="31"/>
      <c r="D2" s="21"/>
      <c r="E2" s="21"/>
      <c r="F2" s="133"/>
      <c r="H2" s="31"/>
    </row>
    <row r="3" spans="1:26" ht="30" customHeight="1">
      <c r="A3" s="141" t="s">
        <v>553</v>
      </c>
      <c r="B3" s="53" t="str">
        <f>SUM(E77) &amp; " of 15 points "</f>
        <v xml:space="preserve">0 of 15 points </v>
      </c>
      <c r="C3" s="93"/>
      <c r="D3" s="24"/>
      <c r="E3" s="21"/>
      <c r="F3" s="28"/>
      <c r="G3" s="22"/>
      <c r="H3" s="22"/>
      <c r="I3" s="22"/>
      <c r="J3" s="22"/>
      <c r="K3" s="22"/>
      <c r="L3" s="22"/>
      <c r="M3" s="22"/>
      <c r="N3" s="22"/>
      <c r="O3" s="22"/>
      <c r="P3" s="22"/>
      <c r="Q3" s="22"/>
      <c r="R3" s="22"/>
      <c r="S3" s="22"/>
      <c r="T3" s="22"/>
      <c r="U3" s="22"/>
      <c r="V3" s="22"/>
      <c r="W3" s="22"/>
      <c r="X3" s="22"/>
      <c r="Y3" s="22"/>
      <c r="Z3" s="22"/>
    </row>
    <row r="4" spans="1:26" ht="20.25" customHeight="1">
      <c r="A4" s="147" t="s">
        <v>554</v>
      </c>
      <c r="B4" s="112" t="str">
        <f>SUM(E33:E36)   &amp; " of " &amp; 4.5</f>
        <v>0 of 4.5</v>
      </c>
      <c r="C4" s="92"/>
      <c r="D4" s="21"/>
      <c r="E4" s="21"/>
      <c r="F4" s="133"/>
      <c r="G4" s="22"/>
      <c r="H4" s="22"/>
      <c r="I4" s="22"/>
      <c r="J4" s="22"/>
      <c r="K4" s="22"/>
      <c r="L4" s="22"/>
      <c r="M4" s="22"/>
      <c r="N4" s="22"/>
      <c r="O4" s="22"/>
      <c r="P4" s="22"/>
      <c r="Q4" s="22"/>
      <c r="R4" s="22"/>
      <c r="S4" s="22"/>
      <c r="T4" s="22"/>
      <c r="U4" s="22"/>
      <c r="V4" s="22"/>
      <c r="W4" s="22"/>
      <c r="X4" s="22"/>
      <c r="Y4" s="22"/>
      <c r="Z4" s="22"/>
    </row>
    <row r="5" spans="1:26" ht="20.25" customHeight="1">
      <c r="A5" s="147" t="s">
        <v>555</v>
      </c>
      <c r="B5" s="112" t="str">
        <f>SUM(E40:E42)   &amp; " of " &amp; 2.5</f>
        <v>0 of 2.5</v>
      </c>
      <c r="C5" s="92"/>
      <c r="D5" s="21"/>
      <c r="E5" s="139"/>
      <c r="F5" s="150"/>
      <c r="G5" s="22"/>
      <c r="H5" s="22"/>
      <c r="I5" s="22"/>
      <c r="J5" s="22"/>
      <c r="K5" s="22"/>
      <c r="L5" s="22"/>
      <c r="M5" s="22"/>
      <c r="N5" s="22"/>
      <c r="O5" s="22"/>
      <c r="P5" s="22"/>
      <c r="Q5" s="22"/>
      <c r="R5" s="22"/>
      <c r="S5" s="22"/>
      <c r="T5" s="22"/>
      <c r="U5" s="22"/>
      <c r="V5" s="22"/>
      <c r="W5" s="22"/>
      <c r="X5" s="22"/>
      <c r="Y5" s="22"/>
      <c r="Z5" s="22"/>
    </row>
    <row r="6" spans="1:26" ht="20.25" customHeight="1">
      <c r="A6" s="147" t="s">
        <v>556</v>
      </c>
      <c r="B6" s="112" t="str">
        <f>SUM(E46:E47)   &amp; " of " &amp; 1</f>
        <v>0 of 1</v>
      </c>
      <c r="C6" s="92"/>
      <c r="D6" s="21"/>
      <c r="E6" s="139"/>
      <c r="F6" s="150"/>
      <c r="G6" s="22"/>
      <c r="H6" s="22"/>
      <c r="I6" s="22"/>
      <c r="J6" s="22"/>
      <c r="K6" s="22"/>
      <c r="L6" s="22"/>
      <c r="M6" s="22"/>
      <c r="N6" s="22"/>
      <c r="O6" s="22"/>
      <c r="P6" s="22"/>
      <c r="Q6" s="22"/>
      <c r="R6" s="22"/>
      <c r="S6" s="22"/>
      <c r="T6" s="22"/>
      <c r="U6" s="22"/>
      <c r="V6" s="22"/>
      <c r="W6" s="22"/>
      <c r="X6" s="22"/>
      <c r="Y6" s="22"/>
      <c r="Z6" s="22"/>
    </row>
    <row r="7" spans="1:26" ht="20.25" customHeight="1">
      <c r="A7" s="147" t="s">
        <v>557</v>
      </c>
      <c r="B7" s="112" t="str">
        <f>SUM(E54:E55)   &amp; " of " &amp; 3</f>
        <v>0 of 3</v>
      </c>
      <c r="C7" s="22"/>
      <c r="D7" s="21"/>
      <c r="E7" s="139"/>
      <c r="F7" s="150"/>
      <c r="G7" s="22"/>
      <c r="H7" s="22"/>
      <c r="I7" s="22"/>
      <c r="J7" s="22"/>
      <c r="K7" s="22"/>
      <c r="L7" s="22"/>
      <c r="M7" s="22"/>
      <c r="N7" s="22"/>
      <c r="O7" s="22"/>
      <c r="P7" s="22"/>
      <c r="Q7" s="22"/>
      <c r="R7" s="22"/>
      <c r="S7" s="22"/>
      <c r="T7" s="22"/>
      <c r="U7" s="22"/>
      <c r="V7" s="22"/>
      <c r="W7" s="22"/>
      <c r="X7" s="22"/>
      <c r="Y7" s="22"/>
      <c r="Z7" s="22"/>
    </row>
    <row r="8" spans="1:26" ht="20.25" customHeight="1" thickBot="1">
      <c r="A8" s="148" t="s">
        <v>558</v>
      </c>
      <c r="B8" s="113" t="str">
        <f>SUM(E58:E61)   &amp; " of " &amp; 4</f>
        <v>0 of 4</v>
      </c>
      <c r="C8" s="22"/>
      <c r="D8" s="21"/>
      <c r="E8" s="150"/>
      <c r="F8" s="150"/>
      <c r="G8" s="22"/>
      <c r="H8" s="22"/>
      <c r="I8" s="22"/>
      <c r="J8" s="22"/>
      <c r="K8" s="22"/>
      <c r="L8" s="22"/>
      <c r="M8" s="22"/>
      <c r="N8" s="22"/>
      <c r="O8" s="22"/>
      <c r="P8" s="22"/>
      <c r="Q8" s="22"/>
      <c r="R8" s="22"/>
      <c r="S8" s="22"/>
      <c r="T8" s="22"/>
      <c r="U8" s="22"/>
      <c r="V8" s="22"/>
      <c r="W8" s="22"/>
      <c r="X8" s="22"/>
      <c r="Y8" s="22"/>
      <c r="Z8" s="22"/>
    </row>
    <row r="9" spans="1:26" s="22" customFormat="1" ht="10" customHeight="1">
      <c r="A9" s="226"/>
      <c r="B9" s="21"/>
      <c r="D9" s="21"/>
      <c r="E9" s="150"/>
      <c r="F9" s="150"/>
    </row>
    <row r="10" spans="1:26" s="22" customFormat="1" ht="14.5" customHeight="1" thickBot="1">
      <c r="A10" s="167"/>
      <c r="B10" s="39"/>
      <c r="C10" s="39"/>
      <c r="D10" s="21"/>
      <c r="E10" s="150"/>
      <c r="F10" s="150"/>
    </row>
    <row r="11" spans="1:26" ht="40" customHeight="1">
      <c r="A11" s="143"/>
      <c r="B11" s="586" t="s">
        <v>125</v>
      </c>
      <c r="C11" s="587"/>
      <c r="D11" s="587"/>
      <c r="E11" s="348" t="s">
        <v>126</v>
      </c>
      <c r="F11" s="151"/>
      <c r="G11" s="22"/>
      <c r="H11" s="22"/>
      <c r="I11" s="22"/>
      <c r="J11" s="22"/>
      <c r="K11" s="22"/>
      <c r="L11" s="22"/>
      <c r="M11" s="22"/>
      <c r="N11" s="22"/>
      <c r="O11" s="22"/>
      <c r="P11" s="22"/>
      <c r="Q11" s="22"/>
      <c r="R11" s="22"/>
      <c r="S11" s="22"/>
      <c r="T11" s="22"/>
      <c r="U11" s="22"/>
      <c r="V11" s="22"/>
      <c r="W11" s="22"/>
      <c r="X11" s="22"/>
      <c r="Y11" s="22"/>
      <c r="Z11" s="22"/>
    </row>
    <row r="12" spans="1:26" ht="30.75" customHeight="1">
      <c r="A12" s="143"/>
      <c r="B12" s="584" t="s">
        <v>559</v>
      </c>
      <c r="C12" s="585"/>
      <c r="D12" s="393"/>
      <c r="E12" s="331" t="s">
        <v>132</v>
      </c>
      <c r="F12" s="151"/>
      <c r="G12" s="22"/>
      <c r="H12" s="22"/>
      <c r="I12" s="22"/>
      <c r="J12" s="22"/>
      <c r="K12" s="22"/>
      <c r="L12" s="22"/>
      <c r="M12" s="22"/>
      <c r="N12" s="22"/>
      <c r="O12" s="22"/>
      <c r="P12" s="22"/>
      <c r="Q12" s="22"/>
      <c r="R12" s="22"/>
      <c r="S12" s="22"/>
      <c r="T12" s="22"/>
      <c r="U12" s="22"/>
      <c r="V12" s="22"/>
      <c r="W12" s="22"/>
      <c r="X12" s="22"/>
      <c r="Y12" s="22"/>
      <c r="Z12" s="22"/>
    </row>
    <row r="13" spans="1:26" ht="30.75" customHeight="1">
      <c r="A13" s="143"/>
      <c r="B13" s="584" t="s">
        <v>560</v>
      </c>
      <c r="C13" s="585"/>
      <c r="D13" s="393"/>
      <c r="E13" s="331" t="s">
        <v>132</v>
      </c>
      <c r="F13" s="151"/>
      <c r="G13" s="22"/>
      <c r="H13" s="22"/>
      <c r="I13" s="22"/>
      <c r="J13" s="22"/>
      <c r="K13" s="22"/>
      <c r="L13" s="22"/>
      <c r="M13" s="22"/>
      <c r="N13" s="22"/>
      <c r="O13" s="22"/>
      <c r="P13" s="22"/>
      <c r="Q13" s="22"/>
      <c r="R13" s="22"/>
      <c r="S13" s="22"/>
      <c r="T13" s="22"/>
      <c r="U13" s="22"/>
      <c r="V13" s="22"/>
      <c r="W13" s="22"/>
      <c r="X13" s="22"/>
      <c r="Y13" s="22"/>
      <c r="Z13" s="22"/>
    </row>
    <row r="14" spans="1:26" ht="30.75" customHeight="1">
      <c r="A14" s="219"/>
      <c r="B14" s="584" t="s">
        <v>561</v>
      </c>
      <c r="C14" s="585"/>
      <c r="D14" s="393"/>
      <c r="E14" s="331" t="s">
        <v>132</v>
      </c>
      <c r="F14" s="152"/>
      <c r="G14" s="22"/>
      <c r="H14" s="22"/>
      <c r="I14" s="22"/>
      <c r="J14" s="22"/>
      <c r="K14" s="22"/>
      <c r="L14" s="22"/>
      <c r="M14" s="22"/>
      <c r="N14" s="22"/>
      <c r="O14" s="22"/>
      <c r="P14" s="22"/>
      <c r="Q14" s="22"/>
      <c r="R14" s="22"/>
      <c r="S14" s="22"/>
      <c r="T14" s="22"/>
      <c r="U14" s="22"/>
      <c r="V14" s="22"/>
      <c r="W14" s="22"/>
      <c r="X14" s="22"/>
      <c r="Y14" s="22"/>
      <c r="Z14" s="22"/>
    </row>
    <row r="15" spans="1:26" ht="30.75" customHeight="1">
      <c r="A15" s="219"/>
      <c r="B15" s="584" t="s">
        <v>562</v>
      </c>
      <c r="C15" s="585"/>
      <c r="D15" s="393"/>
      <c r="E15" s="331" t="s">
        <v>132</v>
      </c>
      <c r="F15" s="151"/>
      <c r="G15" s="22"/>
      <c r="H15" s="22"/>
      <c r="I15" s="22"/>
      <c r="J15" s="22"/>
      <c r="K15" s="22"/>
      <c r="L15" s="22"/>
      <c r="M15" s="22"/>
      <c r="N15" s="22"/>
      <c r="O15" s="22"/>
      <c r="P15" s="22"/>
      <c r="Q15" s="22"/>
      <c r="R15" s="22"/>
      <c r="S15" s="22"/>
      <c r="T15" s="22"/>
      <c r="U15" s="22"/>
      <c r="V15" s="22"/>
      <c r="W15" s="22"/>
      <c r="X15" s="22"/>
      <c r="Y15" s="22"/>
      <c r="Z15" s="22"/>
    </row>
    <row r="16" spans="1:26" ht="30.75" customHeight="1">
      <c r="A16" s="219"/>
      <c r="B16" s="588" t="s">
        <v>563</v>
      </c>
      <c r="C16" s="589"/>
      <c r="D16" s="394"/>
      <c r="E16" s="286" t="s">
        <v>564</v>
      </c>
      <c r="F16" s="151"/>
      <c r="G16" s="22"/>
      <c r="H16" s="22"/>
      <c r="I16" s="22"/>
      <c r="J16" s="22"/>
      <c r="K16" s="22"/>
      <c r="L16" s="22"/>
      <c r="M16" s="22"/>
      <c r="N16" s="22"/>
      <c r="O16" s="22"/>
      <c r="P16" s="22"/>
      <c r="Q16" s="22"/>
      <c r="R16" s="22"/>
      <c r="S16" s="22"/>
      <c r="T16" s="22"/>
      <c r="U16" s="22"/>
      <c r="V16" s="22"/>
      <c r="W16" s="22"/>
      <c r="X16" s="22"/>
      <c r="Y16" s="22"/>
      <c r="Z16" s="22"/>
    </row>
    <row r="17" spans="1:26" ht="30.75" customHeight="1">
      <c r="A17" s="219"/>
      <c r="B17" s="588" t="s">
        <v>565</v>
      </c>
      <c r="C17" s="589"/>
      <c r="D17" s="385"/>
      <c r="E17" s="286" t="s">
        <v>564</v>
      </c>
      <c r="F17" s="151"/>
      <c r="G17" s="22"/>
      <c r="H17" s="22"/>
      <c r="I17" s="22"/>
      <c r="J17" s="22"/>
      <c r="K17" s="22"/>
      <c r="L17" s="22"/>
      <c r="M17" s="22"/>
      <c r="N17" s="22"/>
      <c r="O17" s="22"/>
      <c r="P17" s="22"/>
      <c r="Q17" s="22"/>
      <c r="R17" s="22"/>
      <c r="S17" s="22"/>
      <c r="T17" s="22"/>
      <c r="U17" s="22"/>
      <c r="V17" s="22"/>
      <c r="W17" s="22"/>
      <c r="X17" s="22"/>
      <c r="Y17" s="22"/>
      <c r="Z17" s="22"/>
    </row>
    <row r="18" spans="1:26" s="22" customFormat="1" ht="30.75" customHeight="1">
      <c r="A18" s="220"/>
      <c r="B18" s="588" t="s">
        <v>566</v>
      </c>
      <c r="C18" s="589"/>
      <c r="D18" s="385"/>
      <c r="E18" s="286" t="s">
        <v>567</v>
      </c>
      <c r="F18" s="153"/>
    </row>
    <row r="19" spans="1:26" s="22" customFormat="1" ht="30.75" customHeight="1">
      <c r="A19" s="220"/>
      <c r="B19" s="567" t="s">
        <v>568</v>
      </c>
      <c r="C19" s="568"/>
      <c r="D19" s="385"/>
      <c r="E19" s="335" t="s">
        <v>132</v>
      </c>
      <c r="F19" s="271"/>
    </row>
    <row r="20" spans="1:26" s="22" customFormat="1" ht="32.5" customHeight="1">
      <c r="A20" s="220"/>
      <c r="B20" s="567" t="s">
        <v>569</v>
      </c>
      <c r="C20" s="568"/>
      <c r="D20" s="385"/>
      <c r="E20" s="335" t="s">
        <v>132</v>
      </c>
      <c r="F20" s="397"/>
    </row>
    <row r="21" spans="1:26" s="22" customFormat="1" ht="32.5" customHeight="1">
      <c r="A21" s="220"/>
      <c r="B21" s="567" t="str">
        <f>IF(D20=B102,"What is the nearest target year of the utility's goal?","Not applicable")</f>
        <v>Not applicable</v>
      </c>
      <c r="C21" s="568"/>
      <c r="D21" s="385"/>
      <c r="E21" s="335" t="s">
        <v>132</v>
      </c>
      <c r="F21" s="271"/>
    </row>
    <row r="22" spans="1:26" s="22" customFormat="1" ht="32.5" customHeight="1">
      <c r="A22" s="220"/>
      <c r="B22" s="580" t="str">
        <f>IF(D20=B102,"What is the reduction target in the nearest target year?","Not applicable")</f>
        <v>Not applicable</v>
      </c>
      <c r="C22" s="581"/>
      <c r="D22" s="474"/>
      <c r="E22" s="335" t="s">
        <v>132</v>
      </c>
      <c r="F22" s="271"/>
    </row>
    <row r="23" spans="1:26" s="22" customFormat="1" ht="32.5" customHeight="1">
      <c r="A23" s="220"/>
      <c r="B23" s="567" t="str">
        <f>IF(D20=B102,"In the baseline year of the goal, what were your utility's total GHG emissions?","Not applicable")</f>
        <v>Not applicable</v>
      </c>
      <c r="C23" s="568"/>
      <c r="D23" s="385"/>
      <c r="E23" s="335" t="s">
        <v>132</v>
      </c>
      <c r="F23" s="271"/>
    </row>
    <row r="24" spans="1:26" s="22" customFormat="1" ht="32.5" customHeight="1">
      <c r="A24" s="220"/>
      <c r="B24" s="567" t="str">
        <f>IF(D20=B102,"In what year did your utility adopt the goal?","Not applicable")</f>
        <v>Not applicable</v>
      </c>
      <c r="C24" s="568"/>
      <c r="D24" s="385"/>
      <c r="E24" s="335" t="s">
        <v>132</v>
      </c>
      <c r="F24" s="271"/>
    </row>
    <row r="25" spans="1:26" s="22" customFormat="1" ht="32.5" customHeight="1">
      <c r="A25" s="220"/>
      <c r="B25" s="567" t="str">
        <f>IF(D20=B102,"In the adoption year, what were your utility's total GHG emissions?","Not applicable")</f>
        <v>Not applicable</v>
      </c>
      <c r="C25" s="568"/>
      <c r="D25" s="385"/>
      <c r="E25" s="335" t="s">
        <v>132</v>
      </c>
      <c r="F25" s="271"/>
    </row>
    <row r="26" spans="1:26" s="22" customFormat="1" ht="32.5" customHeight="1">
      <c r="A26" s="220"/>
      <c r="B26" s="567" t="str">
        <f>IF(D20=B102,"What is the most recent year for which your utility has data available?","Not applicable")</f>
        <v>Not applicable</v>
      </c>
      <c r="C26" s="568"/>
      <c r="D26" s="385"/>
      <c r="E26" s="335" t="s">
        <v>132</v>
      </c>
      <c r="F26" s="271"/>
    </row>
    <row r="27" spans="1:26" s="22" customFormat="1" ht="32.5" customHeight="1">
      <c r="A27" s="220"/>
      <c r="B27" s="578" t="str">
        <f>IF(D20=B102,"What were your utility's total GHG emissions in the most recent year for which data are available?","Not applicable")</f>
        <v>Not applicable</v>
      </c>
      <c r="C27" s="579"/>
      <c r="D27" s="385"/>
      <c r="E27" s="335" t="s">
        <v>132</v>
      </c>
      <c r="F27" s="271"/>
    </row>
    <row r="28" spans="1:26" s="22" customFormat="1" ht="32.5" customHeight="1">
      <c r="A28" s="220"/>
      <c r="B28" s="567" t="str">
        <f>IF(D20=B102,"In the adoption year, what was your utility's total number of residential customers?","Not applicable")</f>
        <v>Not applicable</v>
      </c>
      <c r="C28" s="568"/>
      <c r="D28" s="385"/>
      <c r="E28" s="335" t="s">
        <v>132</v>
      </c>
      <c r="F28" s="271"/>
    </row>
    <row r="29" spans="1:26" s="22" customFormat="1" ht="32.5" customHeight="1" thickBot="1">
      <c r="A29" s="220"/>
      <c r="B29" s="563" t="str">
        <f>IF(D20=B102,"What is your utility's projected customer count in the target year?","Not applicable")</f>
        <v>Not applicable</v>
      </c>
      <c r="C29" s="564"/>
      <c r="D29" s="385"/>
      <c r="E29" s="335" t="s">
        <v>132</v>
      </c>
      <c r="F29" s="151"/>
    </row>
    <row r="30" spans="1:26" s="22" customFormat="1" ht="25" customHeight="1">
      <c r="A30" s="143"/>
      <c r="B30" s="221"/>
      <c r="C30" s="221"/>
      <c r="D30" s="67"/>
      <c r="E30" s="154"/>
      <c r="F30" s="151"/>
      <c r="G30" s="34"/>
    </row>
    <row r="31" spans="1:26" s="22" customFormat="1" ht="25" customHeight="1" thickBot="1">
      <c r="A31" s="138" t="s">
        <v>570</v>
      </c>
      <c r="B31" s="21"/>
      <c r="C31" s="21"/>
      <c r="D31" s="139"/>
      <c r="E31" s="150"/>
      <c r="F31" s="150"/>
    </row>
    <row r="32" spans="1:26" ht="39.75" customHeight="1">
      <c r="A32" s="273" t="s">
        <v>7</v>
      </c>
      <c r="B32" s="291" t="s">
        <v>127</v>
      </c>
      <c r="C32" s="291" t="s">
        <v>571</v>
      </c>
      <c r="D32" s="291" t="s">
        <v>141</v>
      </c>
      <c r="E32" s="291" t="s">
        <v>142</v>
      </c>
      <c r="F32" s="348" t="s">
        <v>126</v>
      </c>
      <c r="G32" s="22"/>
      <c r="H32" s="22"/>
      <c r="I32" s="22"/>
      <c r="J32" s="22"/>
      <c r="K32" s="22"/>
      <c r="L32" s="22"/>
      <c r="M32" s="22"/>
      <c r="N32" s="22"/>
      <c r="O32" s="22"/>
      <c r="P32" s="22"/>
      <c r="Q32" s="22"/>
      <c r="R32" s="22"/>
      <c r="S32" s="22"/>
      <c r="T32" s="22"/>
      <c r="U32" s="22"/>
      <c r="V32" s="22"/>
      <c r="W32" s="22"/>
      <c r="X32" s="22"/>
      <c r="Y32" s="22"/>
      <c r="Z32" s="22"/>
    </row>
    <row r="33" spans="1:26" ht="37.5" customHeight="1">
      <c r="A33" s="572" t="s">
        <v>572</v>
      </c>
      <c r="B33" s="251" t="str">
        <f>IF(D14=C82,"What are the electric utility's net energy efficiency savings in 2019 as a percentage of sales?","Not applicable")</f>
        <v>Not applicable</v>
      </c>
      <c r="C33" s="395" t="str">
        <f>IF(AND(D16="",D17=""),"",(D17/D16))</f>
        <v/>
      </c>
      <c r="D33" s="310"/>
      <c r="E33" s="294" t="str">
        <f>IF(D33=B83,3,IF(D33=C83,2.5,IF(D33=D83,2,IF(D33=E83,1.5,IF(D33=F83,1,IF(D33=G83,0.5,IF(D33=H83,0,"")))))))</f>
        <v/>
      </c>
      <c r="F33" s="386" t="s">
        <v>573</v>
      </c>
      <c r="G33" s="31"/>
      <c r="H33" s="22"/>
      <c r="I33" s="22"/>
      <c r="J33" s="22"/>
      <c r="K33" s="22"/>
      <c r="L33" s="22"/>
      <c r="M33" s="22"/>
      <c r="N33" s="22"/>
      <c r="O33" s="22"/>
      <c r="P33" s="22"/>
      <c r="Q33" s="22"/>
      <c r="R33" s="22"/>
      <c r="S33" s="22"/>
      <c r="T33" s="22"/>
      <c r="U33" s="22"/>
      <c r="V33" s="22"/>
      <c r="W33" s="22"/>
      <c r="X33" s="22"/>
      <c r="Y33" s="22"/>
      <c r="Z33" s="22"/>
    </row>
    <row r="34" spans="1:26" ht="35.5" customHeight="1">
      <c r="A34" s="573"/>
      <c r="B34" s="251" t="str">
        <f>IF(D14=B82,"What are the electric utility's net energy efficiency savings in 2019 as a percentage of sales?","Not applicable")</f>
        <v>Not applicable</v>
      </c>
      <c r="C34" s="395" t="str">
        <f>IF(AND(D16="",D17=""),"",(D17/D16))</f>
        <v/>
      </c>
      <c r="D34" s="310"/>
      <c r="E34" s="294" t="str">
        <f>IF(D34=B83,2,IF(D34=C83,1.5,IF(D34=D83,1,IF(D34=E83,1,IF(D34=F83,0.5,IF(D34=G83,0.5,IF(D34=H83,0,"")))))))</f>
        <v/>
      </c>
      <c r="F34" s="386" t="s">
        <v>573</v>
      </c>
      <c r="G34" s="31"/>
      <c r="H34" s="22"/>
      <c r="I34" s="22"/>
      <c r="J34" s="22"/>
      <c r="K34" s="22"/>
      <c r="L34" s="22"/>
      <c r="M34" s="22"/>
      <c r="N34" s="22"/>
      <c r="O34" s="22"/>
      <c r="P34" s="22"/>
      <c r="Q34" s="22"/>
      <c r="R34" s="22"/>
      <c r="S34" s="22"/>
      <c r="T34" s="22"/>
      <c r="U34" s="22"/>
      <c r="V34" s="22"/>
      <c r="W34" s="22"/>
      <c r="X34" s="22"/>
      <c r="Y34" s="22"/>
      <c r="Z34" s="22"/>
    </row>
    <row r="35" spans="1:26" ht="36" customHeight="1">
      <c r="A35" s="498" t="s">
        <v>574</v>
      </c>
      <c r="B35" s="251" t="s">
        <v>575</v>
      </c>
      <c r="C35" s="395" t="str">
        <f>IF(AND(D18="",D19=""),"",(D19/D18))</f>
        <v/>
      </c>
      <c r="D35" s="310"/>
      <c r="E35" s="294" t="str">
        <f>IF(D35=B84,1.5,IF(D35=C84,1,IF(D35=D84,0.5,IF(D35=E84,0,""))))</f>
        <v/>
      </c>
      <c r="F35" s="386" t="s">
        <v>573</v>
      </c>
      <c r="G35" s="31"/>
      <c r="H35" s="107"/>
      <c r="I35" s="22"/>
      <c r="J35" s="22"/>
      <c r="K35" s="22"/>
      <c r="L35" s="22"/>
      <c r="M35" s="22"/>
      <c r="N35" s="22"/>
      <c r="O35" s="22"/>
      <c r="P35" s="22"/>
      <c r="Q35" s="22"/>
      <c r="R35" s="22"/>
      <c r="S35" s="22"/>
      <c r="T35" s="22"/>
      <c r="U35" s="22"/>
      <c r="V35" s="22"/>
      <c r="W35" s="22"/>
      <c r="X35" s="22"/>
      <c r="Y35" s="22"/>
      <c r="Z35" s="22"/>
    </row>
    <row r="36" spans="1:26" ht="52" customHeight="1">
      <c r="A36" s="293" t="s">
        <v>576</v>
      </c>
      <c r="B36" s="251" t="str">
        <f>IF(D14=B82,"Do your city and electric and/or natural gas utility have a formal partnership in the form of a jointly developed or administered energy savings strategy, plan, or agreement?", "Not applicable")</f>
        <v>Not applicable</v>
      </c>
      <c r="C36" s="310"/>
      <c r="D36" s="310"/>
      <c r="E36" s="294" t="str">
        <f>IF(D36=B85,1,IF(D36=C85,0.5,IF(D36=D85,0,"")))</f>
        <v/>
      </c>
      <c r="F36" s="386" t="s">
        <v>132</v>
      </c>
      <c r="G36" s="65"/>
      <c r="H36" s="107"/>
      <c r="I36" s="22"/>
      <c r="J36" s="22"/>
      <c r="K36" s="22"/>
      <c r="L36" s="22"/>
      <c r="M36" s="22"/>
      <c r="N36" s="22"/>
      <c r="O36" s="22"/>
      <c r="P36" s="22"/>
      <c r="Q36" s="22"/>
      <c r="R36" s="22"/>
      <c r="S36" s="22"/>
      <c r="T36" s="22"/>
      <c r="U36" s="22"/>
      <c r="V36" s="22"/>
      <c r="W36" s="22"/>
      <c r="X36" s="22"/>
      <c r="Y36" s="22"/>
      <c r="Z36" s="22"/>
    </row>
    <row r="37" spans="1:26" ht="101.25" customHeight="1" thickBot="1">
      <c r="A37" s="503" t="s">
        <v>577</v>
      </c>
      <c r="B37" s="389" t="s">
        <v>578</v>
      </c>
      <c r="C37" s="382"/>
      <c r="D37" s="382"/>
      <c r="E37" s="306" t="str">
        <f>IF(D37=B86,1,IF(D37=C86,0,""))</f>
        <v/>
      </c>
      <c r="F37" s="387" t="s">
        <v>132</v>
      </c>
      <c r="G37" s="22"/>
      <c r="H37" s="107"/>
      <c r="I37" s="22"/>
      <c r="J37" s="22"/>
      <c r="K37" s="22"/>
      <c r="L37" s="22"/>
      <c r="M37" s="22"/>
      <c r="N37" s="22"/>
      <c r="O37" s="22"/>
      <c r="P37" s="22"/>
      <c r="Q37" s="22"/>
      <c r="R37" s="22"/>
      <c r="S37" s="22"/>
      <c r="T37" s="22"/>
      <c r="U37" s="22"/>
      <c r="V37" s="22"/>
      <c r="W37" s="22"/>
      <c r="X37" s="22"/>
      <c r="Y37" s="22"/>
      <c r="Z37" s="22"/>
    </row>
    <row r="38" spans="1:26" s="22" customFormat="1" ht="50.25" customHeight="1" thickBot="1">
      <c r="A38" s="138" t="s">
        <v>555</v>
      </c>
      <c r="B38" s="139"/>
      <c r="C38" s="21"/>
      <c r="D38" s="21"/>
      <c r="E38" s="150"/>
      <c r="F38" s="150"/>
      <c r="H38" s="107"/>
    </row>
    <row r="39" spans="1:26" ht="39.75" customHeight="1">
      <c r="A39" s="273" t="s">
        <v>7</v>
      </c>
      <c r="B39" s="291" t="s">
        <v>127</v>
      </c>
      <c r="C39" s="291" t="s">
        <v>571</v>
      </c>
      <c r="D39" s="291" t="s">
        <v>141</v>
      </c>
      <c r="E39" s="291" t="s">
        <v>142</v>
      </c>
      <c r="F39" s="348" t="s">
        <v>126</v>
      </c>
      <c r="G39" s="22"/>
      <c r="H39" s="107"/>
      <c r="I39" s="22"/>
      <c r="J39" s="22"/>
      <c r="K39" s="22"/>
      <c r="L39" s="22"/>
      <c r="M39" s="22"/>
      <c r="N39" s="22"/>
      <c r="O39" s="22"/>
      <c r="P39" s="22"/>
      <c r="Q39" s="22"/>
      <c r="R39" s="22"/>
      <c r="S39" s="22"/>
      <c r="T39" s="22"/>
      <c r="U39" s="22"/>
      <c r="V39" s="22"/>
      <c r="W39" s="22"/>
      <c r="X39" s="22"/>
      <c r="Y39" s="22"/>
      <c r="Z39" s="22"/>
    </row>
    <row r="40" spans="1:26" ht="89.25" customHeight="1">
      <c r="A40" s="572" t="s">
        <v>579</v>
      </c>
      <c r="B40" s="251" t="s">
        <v>580</v>
      </c>
      <c r="C40" s="310"/>
      <c r="D40" s="310"/>
      <c r="E40" s="388" t="str">
        <f>IF(D40=B87,0.5,IF(D40=C87,0,""))</f>
        <v/>
      </c>
      <c r="F40" s="295" t="s">
        <v>132</v>
      </c>
      <c r="G40" s="40"/>
      <c r="H40" s="107"/>
      <c r="I40" s="22"/>
      <c r="J40" s="22"/>
      <c r="K40" s="22"/>
      <c r="L40" s="22"/>
      <c r="M40" s="22"/>
      <c r="N40" s="22"/>
      <c r="O40" s="22"/>
      <c r="P40" s="22"/>
      <c r="Q40" s="22"/>
      <c r="R40" s="22"/>
      <c r="S40" s="22"/>
      <c r="T40" s="22"/>
      <c r="U40" s="22"/>
      <c r="V40" s="22"/>
      <c r="W40" s="22"/>
      <c r="X40" s="22"/>
      <c r="Y40" s="22"/>
      <c r="Z40" s="22"/>
    </row>
    <row r="41" spans="1:26" ht="56.5" customHeight="1">
      <c r="A41" s="582"/>
      <c r="B41" s="251" t="s">
        <v>581</v>
      </c>
      <c r="C41" s="310"/>
      <c r="D41" s="310"/>
      <c r="E41" s="308" t="str">
        <f>IF(D41=B88,0.5,IF(D41=C88,0,""))</f>
        <v/>
      </c>
      <c r="F41" s="295" t="s">
        <v>132</v>
      </c>
      <c r="G41" s="40"/>
      <c r="H41" s="22"/>
      <c r="I41" s="22"/>
      <c r="J41" s="22"/>
      <c r="K41" s="22"/>
      <c r="L41" s="22"/>
      <c r="M41" s="22"/>
      <c r="N41" s="22"/>
      <c r="O41" s="22"/>
      <c r="P41" s="22"/>
      <c r="Q41" s="22"/>
      <c r="R41" s="22"/>
      <c r="S41" s="22"/>
      <c r="T41" s="22"/>
      <c r="U41" s="22"/>
      <c r="V41" s="22"/>
      <c r="W41" s="22"/>
      <c r="X41" s="22"/>
      <c r="Y41" s="22"/>
      <c r="Z41" s="22"/>
    </row>
    <row r="42" spans="1:26" ht="279.5" thickBot="1">
      <c r="A42" s="503" t="s">
        <v>582</v>
      </c>
      <c r="B42" s="389" t="s">
        <v>1579</v>
      </c>
      <c r="C42" s="382"/>
      <c r="D42" s="382"/>
      <c r="E42" s="390" t="str">
        <f>IF(D42=B89,0.5,IF(D42=C89,1,IF(D42=D89,1.5,IF(D42=E89,1.5,""))))</f>
        <v/>
      </c>
      <c r="F42" s="391" t="s">
        <v>132</v>
      </c>
      <c r="G42" s="41"/>
      <c r="I42" s="22"/>
      <c r="J42" s="40"/>
      <c r="K42" s="22"/>
      <c r="L42" s="22"/>
      <c r="M42" s="22"/>
      <c r="N42" s="22"/>
      <c r="O42" s="22"/>
      <c r="P42" s="22"/>
      <c r="Q42" s="22"/>
      <c r="R42" s="22"/>
      <c r="S42" s="22"/>
      <c r="T42" s="22"/>
      <c r="U42" s="22"/>
      <c r="V42" s="22"/>
      <c r="W42" s="22"/>
      <c r="X42" s="22"/>
      <c r="Y42" s="22"/>
      <c r="Z42" s="22"/>
    </row>
    <row r="43" spans="1:26" s="22" customFormat="1" ht="25" customHeight="1">
      <c r="A43" s="143"/>
      <c r="B43" s="160"/>
      <c r="C43" s="107"/>
      <c r="D43" s="27"/>
      <c r="E43" s="151"/>
      <c r="F43" s="151"/>
      <c r="H43" s="107"/>
    </row>
    <row r="44" spans="1:26" s="22" customFormat="1" ht="25" customHeight="1" thickBot="1">
      <c r="A44" s="138" t="s">
        <v>583</v>
      </c>
      <c r="B44" s="139"/>
      <c r="C44" s="139"/>
      <c r="D44" s="139"/>
      <c r="E44" s="150"/>
      <c r="F44" s="150"/>
    </row>
    <row r="45" spans="1:26" ht="40" customHeight="1">
      <c r="A45" s="273" t="s">
        <v>7</v>
      </c>
      <c r="B45" s="291" t="s">
        <v>127</v>
      </c>
      <c r="C45" s="291" t="s">
        <v>571</v>
      </c>
      <c r="D45" s="291" t="s">
        <v>141</v>
      </c>
      <c r="E45" s="291" t="s">
        <v>142</v>
      </c>
      <c r="F45" s="348" t="s">
        <v>126</v>
      </c>
      <c r="G45" s="22"/>
      <c r="H45" s="22"/>
      <c r="I45" s="22"/>
      <c r="J45" s="22"/>
      <c r="K45" s="22"/>
      <c r="L45" s="22"/>
      <c r="M45" s="22"/>
      <c r="N45" s="22"/>
      <c r="O45" s="22"/>
      <c r="P45" s="22"/>
      <c r="Q45" s="22"/>
      <c r="R45" s="22"/>
      <c r="S45" s="22"/>
      <c r="T45" s="22"/>
      <c r="U45" s="22"/>
      <c r="V45" s="22"/>
      <c r="W45" s="22"/>
      <c r="X45" s="22"/>
      <c r="Y45" s="22"/>
      <c r="Z45" s="22"/>
    </row>
    <row r="46" spans="1:26" ht="84" customHeight="1">
      <c r="A46" s="293" t="s">
        <v>584</v>
      </c>
      <c r="B46" s="251" t="s">
        <v>585</v>
      </c>
      <c r="C46" s="310"/>
      <c r="D46" s="310"/>
      <c r="E46" s="294" t="str">
        <f>IF(D46=B91,0.5,IF(D46=C91,0,""))</f>
        <v/>
      </c>
      <c r="F46" s="297" t="s">
        <v>132</v>
      </c>
      <c r="G46" s="22"/>
      <c r="H46" s="22"/>
      <c r="I46" s="22"/>
      <c r="J46" s="22"/>
      <c r="K46" s="22"/>
      <c r="L46" s="22"/>
      <c r="M46" s="22"/>
      <c r="N46" s="22"/>
      <c r="O46" s="22"/>
      <c r="P46" s="22"/>
      <c r="Q46" s="22"/>
      <c r="R46" s="22"/>
      <c r="S46" s="22"/>
      <c r="T46" s="22"/>
      <c r="U46" s="22"/>
      <c r="V46" s="22"/>
      <c r="W46" s="22"/>
      <c r="X46" s="22"/>
      <c r="Y46" s="22"/>
      <c r="Z46" s="22"/>
    </row>
    <row r="47" spans="1:26" ht="69" customHeight="1">
      <c r="A47" s="293" t="s">
        <v>586</v>
      </c>
      <c r="B47" s="251" t="s">
        <v>1580</v>
      </c>
      <c r="C47" s="310"/>
      <c r="D47" s="310"/>
      <c r="E47" s="294" t="str">
        <f>IF(D47=B92,0.5,IF(D47=C92,0,""))</f>
        <v/>
      </c>
      <c r="F47" s="295" t="s">
        <v>132</v>
      </c>
      <c r="G47" s="22"/>
      <c r="H47" s="22"/>
      <c r="I47" s="22"/>
      <c r="J47" s="22"/>
      <c r="K47" s="22"/>
      <c r="L47" s="22"/>
      <c r="M47" s="22"/>
      <c r="N47" s="22"/>
      <c r="O47" s="22"/>
      <c r="P47" s="22"/>
      <c r="Q47" s="22"/>
      <c r="R47" s="22"/>
      <c r="S47" s="22"/>
      <c r="T47" s="22"/>
      <c r="U47" s="22"/>
      <c r="V47" s="22"/>
      <c r="W47" s="22"/>
      <c r="X47" s="22"/>
      <c r="Y47" s="22"/>
      <c r="Z47" s="22"/>
    </row>
    <row r="48" spans="1:26" ht="109" customHeight="1" thickBot="1">
      <c r="A48" s="503" t="s">
        <v>95</v>
      </c>
      <c r="B48" s="389" t="s">
        <v>587</v>
      </c>
      <c r="C48" s="382"/>
      <c r="D48" s="382"/>
      <c r="E48" s="306" t="str">
        <f>IF(D48=B93,1,IF(D48=C93,0.5,IF(D48=D93,0,"")))</f>
        <v/>
      </c>
      <c r="F48" s="295" t="s">
        <v>132</v>
      </c>
      <c r="G48" s="22"/>
      <c r="H48" s="22"/>
      <c r="I48" s="22"/>
      <c r="J48" s="22"/>
      <c r="K48" s="22"/>
      <c r="L48" s="22"/>
      <c r="M48" s="22"/>
      <c r="N48" s="22"/>
      <c r="O48" s="22"/>
      <c r="P48" s="22"/>
      <c r="Q48" s="22"/>
      <c r="R48" s="22"/>
      <c r="S48" s="22"/>
      <c r="T48" s="22"/>
      <c r="U48" s="22"/>
      <c r="V48" s="22"/>
      <c r="W48" s="22"/>
      <c r="X48" s="22"/>
      <c r="Y48" s="22"/>
      <c r="Z48" s="22"/>
    </row>
    <row r="49" spans="1:26" s="22" customFormat="1" ht="24.75" customHeight="1">
      <c r="A49" s="143"/>
      <c r="B49" s="160"/>
      <c r="C49" s="26"/>
      <c r="D49" s="27"/>
      <c r="E49" s="155"/>
      <c r="F49" s="156"/>
    </row>
    <row r="50" spans="1:26" s="22" customFormat="1" ht="24.75" customHeight="1" thickBot="1">
      <c r="A50" s="138" t="s">
        <v>588</v>
      </c>
      <c r="B50" s="139"/>
      <c r="C50" s="139"/>
      <c r="D50" s="21"/>
      <c r="E50" s="150"/>
      <c r="F50" s="150"/>
    </row>
    <row r="51" spans="1:26" s="22" customFormat="1" ht="40" customHeight="1">
      <c r="A51" s="273" t="s">
        <v>7</v>
      </c>
      <c r="B51" s="502" t="s">
        <v>127</v>
      </c>
      <c r="C51" s="291" t="s">
        <v>571</v>
      </c>
      <c r="D51" s="291" t="s">
        <v>141</v>
      </c>
      <c r="E51" s="291" t="s">
        <v>142</v>
      </c>
      <c r="F51" s="348" t="s">
        <v>126</v>
      </c>
    </row>
    <row r="52" spans="1:26" s="22" customFormat="1" ht="64" customHeight="1">
      <c r="A52" s="572" t="s">
        <v>589</v>
      </c>
      <c r="B52" s="251" t="str">
        <f>IF(D14=B82, "Has your city pursued activities or strategies to spur or encourage more utility-scale or distributed renewable energy generation from your local electric utility? Please see the note for a list of scored activities.", "Not applicable")</f>
        <v>Not applicable</v>
      </c>
      <c r="C52" s="310"/>
      <c r="D52" s="310"/>
      <c r="E52" s="294" t="str">
        <f>IF(D52=B94,1.5,IF(D52=C94,1.5,IF(D52=D94,1,IF(D52=E94,0.5,IF(D52=F94,0,"")))))</f>
        <v/>
      </c>
      <c r="F52" s="295" t="s">
        <v>132</v>
      </c>
    </row>
    <row r="53" spans="1:26" s="22" customFormat="1" ht="79" customHeight="1">
      <c r="A53" s="582"/>
      <c r="B53" s="315" t="str">
        <f>IF(D14=B82, "Is your city served by a community choice aggregator (CCA) that provides clean energy options? If not, has your city enabled a CCA but does not yet have one in operation? If not, is your city exploring CCA options?", "Not applicable")</f>
        <v>Not applicable</v>
      </c>
      <c r="C53" s="396"/>
      <c r="D53" s="332"/>
      <c r="E53" s="392" t="str">
        <f>IFERROR(IF((E52+IF(D53=B95,1.5,IF(D53=C95,1,IF(D53=D95,0.5,IF(D53=E95,0,"")))))&gt;1.5,1.5-E52,IF(D53=B95,1.5,IF(D53=C95,1,IF(D53=D95,0.5,IF(D53=E95,0,""))))),"")</f>
        <v/>
      </c>
      <c r="F53" s="339" t="s">
        <v>132</v>
      </c>
    </row>
    <row r="54" spans="1:26" s="22" customFormat="1" ht="67.5" customHeight="1">
      <c r="A54" s="293" t="s">
        <v>590</v>
      </c>
      <c r="B54" s="251" t="str">
        <f>IF(D14=C82,"What are your electric utility's per capita carbon emissions?", "Not applicable")</f>
        <v>Not applicable</v>
      </c>
      <c r="C54" s="483" t="str">
        <f>IFERROR("",D27/D28)</f>
        <v/>
      </c>
      <c r="D54" s="310"/>
      <c r="E54" s="294" t="str">
        <f>IF(D54=B96,1.5,IF(D54=C96,1,IF(D54=D96,0.5,IF(D54=E96,0,""))))</f>
        <v/>
      </c>
      <c r="F54" s="295" t="s">
        <v>132</v>
      </c>
      <c r="G54" s="31"/>
    </row>
    <row r="55" spans="1:26" s="22" customFormat="1" ht="49.5" customHeight="1" thickBot="1">
      <c r="A55" s="503" t="s">
        <v>591</v>
      </c>
      <c r="B55" s="206" t="s">
        <v>592</v>
      </c>
      <c r="C55" s="475" t="str">
        <f>IFERROR('Hidden Sheet'!E191,"")</f>
        <v/>
      </c>
      <c r="D55" s="354"/>
      <c r="E55" s="301" t="str">
        <f>IF(D55=B97,1.5,IF(D55=C97,1,IF(D55=D97,0.5,IF(D55=E97,0,""))))</f>
        <v/>
      </c>
      <c r="F55" s="299" t="s">
        <v>132</v>
      </c>
    </row>
    <row r="56" spans="1:26" ht="50.25" customHeight="1" thickBot="1">
      <c r="A56" s="167" t="s">
        <v>558</v>
      </c>
      <c r="B56" s="157"/>
      <c r="C56" s="108"/>
      <c r="D56" s="108"/>
      <c r="E56" s="157"/>
      <c r="F56" s="157"/>
      <c r="G56" s="22"/>
      <c r="H56" s="22"/>
      <c r="I56" s="22"/>
      <c r="J56" s="22"/>
      <c r="K56" s="22"/>
      <c r="L56" s="22"/>
      <c r="M56" s="22"/>
      <c r="N56" s="22"/>
      <c r="O56" s="22"/>
      <c r="P56" s="22"/>
      <c r="Q56" s="22"/>
      <c r="R56" s="22"/>
      <c r="S56" s="22"/>
      <c r="T56" s="22"/>
      <c r="U56" s="22"/>
      <c r="V56" s="22"/>
      <c r="W56" s="22"/>
      <c r="X56" s="22"/>
      <c r="Y56" s="22"/>
      <c r="Z56" s="22"/>
    </row>
    <row r="57" spans="1:26" ht="40" customHeight="1">
      <c r="A57" s="273" t="s">
        <v>7</v>
      </c>
      <c r="B57" s="502" t="s">
        <v>127</v>
      </c>
      <c r="C57" s="291" t="s">
        <v>571</v>
      </c>
      <c r="D57" s="291" t="s">
        <v>141</v>
      </c>
      <c r="E57" s="291" t="s">
        <v>142</v>
      </c>
      <c r="F57" s="348" t="s">
        <v>126</v>
      </c>
      <c r="G57" s="22"/>
      <c r="H57" s="22"/>
      <c r="I57" s="22"/>
      <c r="J57" s="22"/>
      <c r="K57" s="22"/>
      <c r="L57" s="22"/>
      <c r="M57" s="22"/>
      <c r="N57" s="22"/>
      <c r="O57" s="22"/>
      <c r="P57" s="22"/>
      <c r="Q57" s="22"/>
      <c r="R57" s="22"/>
      <c r="S57" s="22"/>
      <c r="T57" s="22"/>
      <c r="U57" s="22"/>
      <c r="V57" s="22"/>
      <c r="W57" s="22"/>
      <c r="X57" s="22"/>
      <c r="Y57" s="22"/>
      <c r="Z57" s="22"/>
    </row>
    <row r="58" spans="1:26" ht="65.25" customHeight="1">
      <c r="A58" s="293" t="s">
        <v>593</v>
      </c>
      <c r="B58" s="251" t="s">
        <v>594</v>
      </c>
      <c r="C58" s="310"/>
      <c r="D58" s="310"/>
      <c r="E58" s="294" t="str">
        <f>IF(D58=B98,0.5,IF(D58=C98,0,""))</f>
        <v/>
      </c>
      <c r="F58" s="295" t="s">
        <v>132</v>
      </c>
      <c r="G58" s="22"/>
      <c r="H58" s="22"/>
      <c r="I58" s="22"/>
      <c r="J58" s="22"/>
      <c r="K58" s="22"/>
      <c r="L58" s="22"/>
      <c r="M58" s="22"/>
      <c r="N58" s="22"/>
      <c r="O58" s="22"/>
      <c r="P58" s="22"/>
      <c r="Q58" s="22"/>
      <c r="R58" s="22"/>
      <c r="S58" s="22"/>
      <c r="T58" s="22"/>
      <c r="U58" s="22"/>
      <c r="V58" s="22"/>
      <c r="W58" s="22"/>
      <c r="X58" s="22"/>
      <c r="Y58" s="22"/>
      <c r="Z58" s="22"/>
    </row>
    <row r="59" spans="1:26" ht="53.5" customHeight="1">
      <c r="A59" s="293" t="s">
        <v>595</v>
      </c>
      <c r="B59" s="251" t="s">
        <v>596</v>
      </c>
      <c r="C59" s="310"/>
      <c r="D59" s="310"/>
      <c r="E59" s="294" t="str">
        <f>IF(D59=B99,0.5,IF(D59=C99,0,""))</f>
        <v/>
      </c>
      <c r="F59" s="295" t="s">
        <v>132</v>
      </c>
      <c r="G59" s="22"/>
      <c r="H59" s="22"/>
      <c r="I59" s="22"/>
      <c r="J59" s="22"/>
      <c r="K59" s="22"/>
      <c r="L59" s="22"/>
      <c r="M59" s="22"/>
      <c r="N59" s="22"/>
      <c r="O59" s="22"/>
      <c r="P59" s="22"/>
      <c r="Q59" s="22"/>
      <c r="R59" s="22"/>
      <c r="S59" s="22"/>
      <c r="T59" s="22"/>
      <c r="U59" s="22"/>
      <c r="V59" s="22"/>
      <c r="W59" s="22"/>
      <c r="X59" s="22"/>
      <c r="Y59" s="22"/>
      <c r="Z59" s="22"/>
    </row>
    <row r="60" spans="1:26" ht="115" customHeight="1">
      <c r="A60" s="293" t="s">
        <v>597</v>
      </c>
      <c r="B60" s="251" t="s">
        <v>598</v>
      </c>
      <c r="C60" s="310"/>
      <c r="D60" s="310"/>
      <c r="E60" s="294" t="str">
        <f>IF(D60=B100,1,IF(D60=C100,0.5,IF(D60=D100,0,"")))</f>
        <v/>
      </c>
      <c r="F60" s="295" t="s">
        <v>132</v>
      </c>
      <c r="G60" s="22"/>
      <c r="H60" s="22"/>
      <c r="I60" s="22"/>
      <c r="J60" s="22"/>
      <c r="K60" s="22"/>
      <c r="L60" s="22"/>
      <c r="M60" s="22"/>
      <c r="N60" s="22"/>
      <c r="O60" s="22"/>
      <c r="P60" s="22"/>
      <c r="Q60" s="22"/>
      <c r="R60" s="22"/>
      <c r="S60" s="22"/>
      <c r="T60" s="22"/>
      <c r="U60" s="22"/>
      <c r="V60" s="22"/>
      <c r="W60" s="22"/>
      <c r="X60" s="22"/>
      <c r="Y60" s="22"/>
      <c r="Z60" s="22"/>
    </row>
    <row r="61" spans="1:26" ht="74.5" customHeight="1" thickBot="1">
      <c r="A61" s="298" t="s">
        <v>102</v>
      </c>
      <c r="B61" s="206" t="s">
        <v>1581</v>
      </c>
      <c r="C61" s="354"/>
      <c r="D61" s="365"/>
      <c r="E61" s="301" t="str">
        <f>IF(D61=B101,1,IF(D61=C101,0.5,IF(D61=D101,0,"")))</f>
        <v/>
      </c>
      <c r="F61" s="299" t="s">
        <v>132</v>
      </c>
      <c r="G61" s="22"/>
      <c r="H61" s="22"/>
      <c r="I61" s="22"/>
      <c r="J61" s="22"/>
      <c r="K61" s="22"/>
      <c r="L61" s="22"/>
      <c r="M61" s="22"/>
      <c r="N61" s="22"/>
      <c r="O61" s="22"/>
      <c r="P61" s="22"/>
      <c r="Q61" s="22"/>
      <c r="R61" s="22"/>
      <c r="S61" s="22"/>
      <c r="T61" s="22"/>
      <c r="U61" s="22"/>
      <c r="V61" s="22"/>
      <c r="W61" s="22"/>
      <c r="X61" s="22"/>
      <c r="Y61" s="22"/>
      <c r="Z61" s="22"/>
    </row>
    <row r="62" spans="1:26" s="22" customFormat="1" ht="35.5" hidden="1" customHeight="1">
      <c r="A62" s="143"/>
      <c r="B62" s="30"/>
      <c r="C62" s="26"/>
      <c r="D62" s="26"/>
      <c r="E62" s="158"/>
      <c r="F62" s="151"/>
      <c r="G62" s="34"/>
    </row>
    <row r="63" spans="1:26" ht="11.5" hidden="1" customHeight="1">
      <c r="A63" s="519"/>
      <c r="B63" s="29"/>
      <c r="C63" s="22"/>
      <c r="D63" s="22"/>
      <c r="E63" s="151"/>
      <c r="F63" s="151"/>
      <c r="G63" s="22"/>
      <c r="H63" s="22"/>
      <c r="I63" s="22"/>
      <c r="J63" s="22"/>
      <c r="K63" s="22"/>
      <c r="L63" s="22"/>
      <c r="M63" s="22"/>
      <c r="N63" s="22"/>
      <c r="O63" s="22"/>
      <c r="P63" s="22"/>
      <c r="Q63" s="22"/>
      <c r="R63" s="22"/>
      <c r="S63" s="22"/>
      <c r="T63" s="22"/>
      <c r="U63" s="22"/>
      <c r="V63" s="22"/>
      <c r="W63" s="22"/>
      <c r="X63" s="22"/>
      <c r="Y63" s="22"/>
      <c r="Z63" s="22"/>
    </row>
    <row r="64" spans="1:26" ht="8.5" hidden="1" customHeight="1">
      <c r="A64" s="230"/>
      <c r="B64" s="22"/>
      <c r="C64" s="22"/>
      <c r="D64" s="22"/>
      <c r="E64" s="151"/>
      <c r="F64" s="151"/>
      <c r="G64" s="22"/>
      <c r="H64" s="22"/>
      <c r="I64" s="22"/>
      <c r="J64" s="22"/>
      <c r="K64" s="22"/>
      <c r="L64" s="22"/>
      <c r="M64" s="22"/>
      <c r="N64" s="22"/>
      <c r="O64" s="22"/>
      <c r="P64" s="22"/>
      <c r="Q64" s="22"/>
      <c r="R64" s="22"/>
      <c r="S64" s="22"/>
      <c r="T64" s="22"/>
      <c r="U64" s="22"/>
      <c r="V64" s="22"/>
      <c r="W64" s="22"/>
      <c r="X64" s="22"/>
      <c r="Y64" s="22"/>
      <c r="Z64" s="22"/>
    </row>
    <row r="65" spans="1:26" hidden="1">
      <c r="A65" s="230"/>
      <c r="B65" s="22"/>
      <c r="C65" s="22"/>
      <c r="D65" s="29"/>
      <c r="E65" s="151"/>
      <c r="F65" s="151"/>
      <c r="G65" s="22"/>
      <c r="H65" s="22"/>
      <c r="I65" s="22"/>
      <c r="J65" s="22"/>
      <c r="K65" s="22"/>
      <c r="L65" s="22"/>
      <c r="M65" s="22"/>
      <c r="N65" s="22"/>
      <c r="O65" s="22"/>
      <c r="P65" s="22"/>
      <c r="Q65" s="22"/>
      <c r="R65" s="22"/>
      <c r="S65" s="22"/>
      <c r="T65" s="22"/>
      <c r="U65" s="22"/>
      <c r="V65" s="22"/>
      <c r="W65" s="22"/>
      <c r="X65" s="22"/>
      <c r="Y65" s="22"/>
      <c r="Z65" s="22"/>
    </row>
    <row r="66" spans="1:26" ht="2.5" hidden="1" customHeight="1">
      <c r="A66" s="230"/>
      <c r="B66" s="22"/>
      <c r="C66" s="22"/>
      <c r="D66" s="22"/>
      <c r="E66" s="151"/>
      <c r="F66" s="151"/>
      <c r="G66" s="22"/>
      <c r="H66" s="22"/>
      <c r="I66" s="22"/>
      <c r="J66" s="22"/>
      <c r="K66" s="22"/>
      <c r="L66" s="22"/>
      <c r="M66" s="22"/>
      <c r="N66" s="22"/>
      <c r="O66" s="22"/>
      <c r="P66" s="22"/>
      <c r="Q66" s="22"/>
      <c r="R66" s="22"/>
      <c r="S66" s="22"/>
      <c r="T66" s="22"/>
      <c r="U66" s="22"/>
      <c r="V66" s="22"/>
      <c r="W66" s="22"/>
      <c r="X66" s="22"/>
      <c r="Y66" s="22"/>
      <c r="Z66" s="22"/>
    </row>
    <row r="67" spans="1:26" hidden="1">
      <c r="A67" s="519"/>
      <c r="B67" s="29"/>
      <c r="C67" s="22"/>
      <c r="D67" s="22"/>
      <c r="E67" s="151"/>
      <c r="F67" s="151"/>
      <c r="G67" s="22"/>
      <c r="H67" s="22"/>
      <c r="I67" s="22"/>
      <c r="J67" s="22"/>
      <c r="K67" s="22"/>
      <c r="L67" s="22"/>
      <c r="M67" s="22"/>
      <c r="N67" s="22"/>
      <c r="O67" s="22"/>
      <c r="P67" s="22"/>
      <c r="Q67" s="22"/>
      <c r="R67" s="22"/>
      <c r="S67" s="22"/>
      <c r="T67" s="22"/>
      <c r="U67" s="22"/>
      <c r="V67" s="22"/>
      <c r="W67" s="22"/>
      <c r="X67" s="22"/>
      <c r="Y67" s="22"/>
      <c r="Z67" s="22"/>
    </row>
    <row r="68" spans="1:26" hidden="1">
      <c r="A68" s="230"/>
      <c r="B68" s="22"/>
      <c r="C68" s="22"/>
      <c r="D68" s="22"/>
      <c r="E68" s="151"/>
      <c r="F68" s="151"/>
      <c r="G68" s="22"/>
      <c r="H68" s="22"/>
      <c r="I68" s="22"/>
      <c r="J68" s="22"/>
      <c r="K68" s="22"/>
      <c r="L68" s="22"/>
      <c r="M68" s="22"/>
      <c r="N68" s="22"/>
      <c r="O68" s="22"/>
      <c r="P68" s="22"/>
      <c r="Q68" s="22"/>
      <c r="R68" s="22"/>
      <c r="S68" s="22"/>
      <c r="T68" s="22"/>
      <c r="U68" s="22"/>
      <c r="V68" s="22"/>
      <c r="W68" s="22"/>
      <c r="X68" s="22"/>
      <c r="Y68" s="22"/>
      <c r="Z68" s="22"/>
    </row>
    <row r="69" spans="1:26" hidden="1">
      <c r="A69" s="230"/>
      <c r="B69" s="22"/>
      <c r="C69" s="22"/>
      <c r="D69" s="29"/>
      <c r="E69" s="158"/>
      <c r="F69" s="151"/>
      <c r="G69" s="22"/>
      <c r="H69" s="22"/>
      <c r="I69" s="22"/>
      <c r="J69" s="22"/>
      <c r="K69" s="22"/>
      <c r="L69" s="22"/>
      <c r="M69" s="22"/>
      <c r="N69" s="22"/>
      <c r="O69" s="22"/>
      <c r="P69" s="22"/>
      <c r="Q69" s="22"/>
      <c r="R69" s="22"/>
      <c r="S69" s="22"/>
      <c r="T69" s="22"/>
      <c r="U69" s="22"/>
      <c r="V69" s="22"/>
      <c r="W69" s="22"/>
      <c r="X69" s="22"/>
      <c r="Y69" s="22"/>
      <c r="Z69" s="22"/>
    </row>
    <row r="70" spans="1:26" hidden="1">
      <c r="A70" s="230"/>
      <c r="B70" s="22"/>
      <c r="C70" s="22"/>
      <c r="D70" s="29"/>
      <c r="E70" s="151"/>
      <c r="F70" s="151"/>
      <c r="G70" s="22"/>
      <c r="H70" s="22"/>
      <c r="I70" s="22"/>
      <c r="J70" s="22"/>
      <c r="K70" s="22"/>
      <c r="L70" s="22"/>
      <c r="M70" s="22"/>
      <c r="N70" s="22"/>
      <c r="O70" s="22"/>
      <c r="P70" s="22"/>
      <c r="Q70" s="22"/>
      <c r="R70" s="22"/>
      <c r="S70" s="22"/>
      <c r="T70" s="22"/>
      <c r="U70" s="22"/>
      <c r="V70" s="22"/>
      <c r="W70" s="22"/>
      <c r="X70" s="22"/>
      <c r="Y70" s="22"/>
      <c r="Z70" s="22"/>
    </row>
    <row r="71" spans="1:26" ht="6" hidden="1" customHeight="1">
      <c r="A71" s="230"/>
      <c r="B71" s="22"/>
      <c r="C71" s="22"/>
      <c r="D71" s="29"/>
      <c r="E71" s="151"/>
      <c r="F71" s="151"/>
      <c r="G71" s="22"/>
      <c r="H71" s="22"/>
      <c r="I71" s="22"/>
      <c r="J71" s="22"/>
      <c r="K71" s="22"/>
      <c r="L71" s="22"/>
      <c r="M71" s="22"/>
      <c r="N71" s="22"/>
      <c r="O71" s="22"/>
      <c r="P71" s="22"/>
      <c r="Q71" s="22"/>
      <c r="R71" s="22"/>
      <c r="S71" s="22"/>
      <c r="T71" s="22"/>
      <c r="U71" s="22"/>
      <c r="V71" s="22"/>
      <c r="W71" s="22"/>
      <c r="X71" s="22"/>
      <c r="Y71" s="22"/>
      <c r="Z71" s="22"/>
    </row>
    <row r="72" spans="1:26" hidden="1">
      <c r="A72" s="519"/>
      <c r="B72" s="29"/>
      <c r="C72" s="22"/>
      <c r="D72" s="22"/>
      <c r="E72" s="151"/>
      <c r="F72" s="151"/>
      <c r="G72" s="22"/>
      <c r="H72" s="22"/>
      <c r="I72" s="22"/>
      <c r="J72" s="22"/>
      <c r="K72" s="22"/>
      <c r="L72" s="22"/>
      <c r="M72" s="22"/>
      <c r="N72" s="22"/>
      <c r="O72" s="22"/>
      <c r="P72" s="22"/>
      <c r="Q72" s="22"/>
      <c r="R72" s="22"/>
      <c r="S72" s="22"/>
      <c r="T72" s="22"/>
      <c r="U72" s="22"/>
      <c r="V72" s="22"/>
      <c r="W72" s="22"/>
      <c r="X72" s="22"/>
      <c r="Y72" s="22"/>
      <c r="Z72" s="22"/>
    </row>
    <row r="73" spans="1:26" hidden="1">
      <c r="A73" s="230"/>
      <c r="B73" s="22"/>
      <c r="C73" s="22"/>
      <c r="D73" s="22"/>
      <c r="E73" s="151"/>
      <c r="F73" s="151"/>
      <c r="G73" s="22"/>
      <c r="H73" s="22"/>
      <c r="I73" s="22"/>
      <c r="J73" s="22"/>
      <c r="K73" s="22"/>
      <c r="L73" s="22"/>
      <c r="M73" s="22"/>
      <c r="N73" s="22"/>
      <c r="O73" s="22"/>
      <c r="P73" s="22"/>
      <c r="Q73" s="22"/>
      <c r="R73" s="22"/>
      <c r="S73" s="22"/>
      <c r="T73" s="22"/>
      <c r="U73" s="22"/>
      <c r="V73" s="22"/>
      <c r="W73" s="22"/>
      <c r="X73" s="22"/>
      <c r="Y73" s="22"/>
      <c r="Z73" s="22"/>
    </row>
    <row r="74" spans="1:26" ht="35.5" hidden="1" customHeight="1">
      <c r="A74" s="230"/>
      <c r="B74" s="22"/>
      <c r="C74" s="22"/>
      <c r="D74" s="29"/>
      <c r="E74" s="151"/>
      <c r="F74" s="151"/>
      <c r="G74" s="22"/>
      <c r="H74" s="22"/>
      <c r="I74" s="22"/>
      <c r="J74" s="22"/>
      <c r="K74" s="22"/>
      <c r="L74" s="22"/>
      <c r="M74" s="22"/>
      <c r="N74" s="22"/>
      <c r="O74" s="22"/>
      <c r="P74" s="22"/>
      <c r="Q74" s="22"/>
      <c r="R74" s="22"/>
      <c r="S74" s="22"/>
      <c r="T74" s="22"/>
      <c r="U74" s="22"/>
      <c r="V74" s="22"/>
      <c r="W74" s="22"/>
      <c r="X74" s="22"/>
      <c r="Y74" s="22"/>
      <c r="Z74" s="22"/>
    </row>
    <row r="75" spans="1:26" ht="25" customHeight="1">
      <c r="A75" s="230"/>
      <c r="B75" s="22"/>
      <c r="C75" s="22"/>
      <c r="D75" s="22"/>
      <c r="E75" s="151"/>
      <c r="F75" s="151"/>
      <c r="G75" s="22"/>
      <c r="H75" s="22"/>
      <c r="I75" s="22"/>
      <c r="J75" s="22"/>
      <c r="K75" s="22"/>
      <c r="L75" s="22"/>
      <c r="M75" s="22"/>
      <c r="N75" s="22"/>
      <c r="O75" s="22"/>
      <c r="P75" s="22"/>
      <c r="Q75" s="22"/>
      <c r="R75" s="22"/>
      <c r="S75" s="22"/>
      <c r="T75" s="22"/>
      <c r="U75" s="22"/>
      <c r="V75" s="22"/>
      <c r="W75" s="22"/>
      <c r="X75" s="22"/>
      <c r="Y75" s="22"/>
      <c r="Z75" s="22"/>
    </row>
    <row r="76" spans="1:26" ht="25" customHeight="1" thickBot="1">
      <c r="A76" s="230"/>
      <c r="B76" s="22"/>
      <c r="C76" s="22"/>
      <c r="D76" s="22"/>
      <c r="E76" s="151"/>
      <c r="F76" s="151"/>
      <c r="G76" s="22"/>
      <c r="H76" s="22"/>
      <c r="I76" s="22"/>
      <c r="J76" s="22"/>
      <c r="K76" s="22"/>
      <c r="L76" s="22"/>
      <c r="M76" s="22"/>
      <c r="N76" s="22"/>
      <c r="O76" s="22"/>
      <c r="P76" s="22"/>
      <c r="Q76" s="22"/>
      <c r="R76" s="22"/>
      <c r="S76" s="22"/>
      <c r="T76" s="22"/>
      <c r="U76" s="22"/>
      <c r="V76" s="22"/>
      <c r="W76" s="22"/>
      <c r="X76" s="22"/>
      <c r="Y76" s="22"/>
      <c r="Z76" s="22"/>
    </row>
    <row r="77" spans="1:26" ht="30" customHeight="1" thickBot="1">
      <c r="A77" s="230"/>
      <c r="B77" s="22"/>
      <c r="C77" s="22"/>
      <c r="D77" s="497" t="s">
        <v>175</v>
      </c>
      <c r="E77" s="327">
        <f>SUM(E33:E36,E40:E42,E46:E47,E54:E55,E58:E61)</f>
        <v>0</v>
      </c>
      <c r="F77" s="159"/>
      <c r="G77" s="22"/>
      <c r="H77" s="22"/>
      <c r="I77" s="22"/>
      <c r="J77" s="22"/>
      <c r="K77" s="22"/>
      <c r="L77" s="22"/>
      <c r="M77" s="22"/>
      <c r="N77" s="22"/>
      <c r="O77" s="22"/>
      <c r="P77" s="22"/>
      <c r="Q77" s="22"/>
      <c r="R77" s="22"/>
      <c r="S77" s="22"/>
      <c r="T77" s="22"/>
      <c r="U77" s="22"/>
      <c r="V77" s="22"/>
      <c r="W77" s="22"/>
      <c r="X77" s="22"/>
      <c r="Y77" s="22"/>
      <c r="Z77" s="22"/>
    </row>
    <row r="78" spans="1:26" s="22" customFormat="1" ht="36" customHeight="1">
      <c r="A78" s="144"/>
      <c r="E78" s="144"/>
      <c r="F78" s="151"/>
    </row>
    <row r="79" spans="1:26" s="22" customFormat="1">
      <c r="A79" s="144"/>
      <c r="E79" s="144"/>
      <c r="F79" s="151"/>
    </row>
    <row r="80" spans="1:26" s="22" customFormat="1" ht="19" hidden="1" customHeight="1">
      <c r="A80" s="520" t="s">
        <v>176</v>
      </c>
      <c r="B80" s="119"/>
      <c r="E80" s="144"/>
      <c r="F80" s="151"/>
    </row>
    <row r="81" spans="1:9" s="22" customFormat="1" hidden="1">
      <c r="A81" s="145" t="s">
        <v>178</v>
      </c>
      <c r="B81" t="s">
        <v>179</v>
      </c>
      <c r="C81" t="s">
        <v>180</v>
      </c>
      <c r="D81" t="s">
        <v>181</v>
      </c>
      <c r="E81" s="145" t="s">
        <v>182</v>
      </c>
      <c r="F81" s="159" t="s">
        <v>599</v>
      </c>
      <c r="G81" t="s">
        <v>600</v>
      </c>
      <c r="H81" t="s">
        <v>601</v>
      </c>
    </row>
    <row r="82" spans="1:9" s="22" customFormat="1" hidden="1">
      <c r="A82" s="222" t="s">
        <v>602</v>
      </c>
      <c r="B82" s="76" t="s">
        <v>603</v>
      </c>
      <c r="C82" s="76" t="s">
        <v>604</v>
      </c>
      <c r="D82" s="76"/>
      <c r="E82" s="222"/>
      <c r="F82" s="223"/>
      <c r="G82" s="76"/>
      <c r="H82" s="76"/>
    </row>
    <row r="83" spans="1:9" s="22" customFormat="1" hidden="1">
      <c r="A83" s="521" t="s">
        <v>605</v>
      </c>
      <c r="B83" s="76" t="s">
        <v>1551</v>
      </c>
      <c r="C83" s="76" t="s">
        <v>606</v>
      </c>
      <c r="D83" s="76" t="s">
        <v>607</v>
      </c>
      <c r="E83" s="224" t="s">
        <v>608</v>
      </c>
      <c r="F83" s="225" t="s">
        <v>609</v>
      </c>
      <c r="G83" s="109" t="s">
        <v>1526</v>
      </c>
      <c r="H83" t="s">
        <v>1527</v>
      </c>
    </row>
    <row r="84" spans="1:9" s="22" customFormat="1" hidden="1">
      <c r="A84" s="521" t="s">
        <v>610</v>
      </c>
      <c r="B84" s="76" t="s">
        <v>611</v>
      </c>
      <c r="C84" s="76" t="s">
        <v>612</v>
      </c>
      <c r="D84" s="76" t="s">
        <v>613</v>
      </c>
      <c r="E84" s="224" t="s">
        <v>614</v>
      </c>
      <c r="F84" s="225"/>
      <c r="G84" s="109"/>
      <c r="H84" s="109"/>
    </row>
    <row r="85" spans="1:9" s="22" customFormat="1" hidden="1">
      <c r="A85" s="521" t="s">
        <v>200</v>
      </c>
      <c r="B85" t="s">
        <v>615</v>
      </c>
      <c r="C85" s="76" t="s">
        <v>616</v>
      </c>
      <c r="D85" s="76" t="s">
        <v>617</v>
      </c>
      <c r="E85" s="222"/>
      <c r="F85" s="223"/>
      <c r="G85" s="76"/>
      <c r="H85" s="76"/>
    </row>
    <row r="86" spans="1:9" s="22" customFormat="1" hidden="1">
      <c r="A86" s="521" t="s">
        <v>356</v>
      </c>
      <c r="B86" s="258" t="s">
        <v>618</v>
      </c>
      <c r="C86" s="258" t="s">
        <v>619</v>
      </c>
      <c r="D86" s="76"/>
      <c r="E86" s="224"/>
      <c r="F86" s="225"/>
      <c r="G86" s="109"/>
      <c r="H86" s="109"/>
    </row>
    <row r="87" spans="1:9" s="22" customFormat="1" hidden="1">
      <c r="A87" s="521" t="s">
        <v>620</v>
      </c>
      <c r="B87" s="76" t="s">
        <v>621</v>
      </c>
      <c r="C87" s="76" t="s">
        <v>622</v>
      </c>
      <c r="D87" s="76"/>
      <c r="E87" s="222"/>
      <c r="F87" s="223"/>
      <c r="G87" s="76"/>
      <c r="H87" s="76"/>
      <c r="I87" s="34"/>
    </row>
    <row r="88" spans="1:9" s="22" customFormat="1" hidden="1">
      <c r="A88" s="521" t="s">
        <v>209</v>
      </c>
      <c r="B88" s="76" t="s">
        <v>623</v>
      </c>
      <c r="C88" s="76" t="s">
        <v>624</v>
      </c>
      <c r="D88" s="76"/>
      <c r="E88" s="222"/>
      <c r="F88" s="223"/>
      <c r="G88" s="76"/>
      <c r="H88" s="76"/>
      <c r="I88" s="34"/>
    </row>
    <row r="89" spans="1:9" s="22" customFormat="1" hidden="1">
      <c r="A89" s="521" t="s">
        <v>212</v>
      </c>
      <c r="B89" s="76">
        <v>1</v>
      </c>
      <c r="C89" s="76">
        <v>2</v>
      </c>
      <c r="D89" s="76">
        <v>3</v>
      </c>
      <c r="E89" s="222">
        <v>4</v>
      </c>
      <c r="F89" s="223"/>
      <c r="G89" s="76"/>
      <c r="H89" s="76"/>
      <c r="I89" s="34"/>
    </row>
    <row r="90" spans="1:9" s="22" customFormat="1" hidden="1">
      <c r="A90" s="521" t="s">
        <v>216</v>
      </c>
      <c r="B90" s="258" t="s">
        <v>625</v>
      </c>
      <c r="C90" s="258" t="s">
        <v>626</v>
      </c>
      <c r="D90" s="76"/>
      <c r="E90" s="224"/>
      <c r="F90" s="225"/>
      <c r="G90" s="109"/>
      <c r="H90" s="109"/>
      <c r="I90" s="34"/>
    </row>
    <row r="91" spans="1:9" s="22" customFormat="1" hidden="1">
      <c r="A91" s="522" t="s">
        <v>362</v>
      </c>
      <c r="B91" s="76" t="s">
        <v>627</v>
      </c>
      <c r="C91" s="76" t="s">
        <v>628</v>
      </c>
      <c r="D91" s="76"/>
      <c r="E91" s="222"/>
      <c r="F91" s="223"/>
      <c r="G91" s="76"/>
      <c r="H91" s="76"/>
      <c r="I91" s="34"/>
    </row>
    <row r="92" spans="1:9" s="22" customFormat="1" hidden="1">
      <c r="A92" s="521" t="s">
        <v>629</v>
      </c>
      <c r="B92" s="76" t="s">
        <v>1587</v>
      </c>
      <c r="C92" s="76" t="s">
        <v>1588</v>
      </c>
      <c r="D92" s="76"/>
      <c r="E92" s="222"/>
      <c r="F92" s="223"/>
      <c r="G92" s="76"/>
      <c r="H92" s="76"/>
      <c r="I92" s="34"/>
    </row>
    <row r="93" spans="1:9" s="22" customFormat="1" hidden="1">
      <c r="A93" s="521" t="s">
        <v>377</v>
      </c>
      <c r="B93" s="258" t="s">
        <v>630</v>
      </c>
      <c r="C93" s="258" t="s">
        <v>631</v>
      </c>
      <c r="D93" s="258" t="s">
        <v>632</v>
      </c>
      <c r="E93" s="224"/>
      <c r="F93" s="225"/>
      <c r="G93" s="109"/>
      <c r="H93" s="109"/>
      <c r="I93" s="34"/>
    </row>
    <row r="94" spans="1:9" s="22" customFormat="1" hidden="1">
      <c r="A94" s="521" t="s">
        <v>220</v>
      </c>
      <c r="B94" s="76" t="s">
        <v>1554</v>
      </c>
      <c r="C94" s="76" t="s">
        <v>634</v>
      </c>
      <c r="D94" s="76" t="s">
        <v>633</v>
      </c>
      <c r="E94" s="224" t="s">
        <v>1555</v>
      </c>
      <c r="F94" s="222" t="s">
        <v>635</v>
      </c>
      <c r="G94" s="76"/>
      <c r="H94" s="76"/>
      <c r="I94" s="34"/>
    </row>
    <row r="95" spans="1:9" s="22" customFormat="1" hidden="1">
      <c r="A95" s="521" t="s">
        <v>385</v>
      </c>
      <c r="B95" s="76" t="s">
        <v>636</v>
      </c>
      <c r="C95" s="76" t="s">
        <v>1552</v>
      </c>
      <c r="D95" s="76" t="s">
        <v>637</v>
      </c>
      <c r="E95" s="224" t="s">
        <v>638</v>
      </c>
      <c r="F95" s="225"/>
      <c r="G95" s="109"/>
      <c r="H95" s="109"/>
      <c r="I95" s="34"/>
    </row>
    <row r="96" spans="1:9" s="22" customFormat="1" hidden="1">
      <c r="A96" s="521" t="s">
        <v>225</v>
      </c>
      <c r="B96" s="258" t="s">
        <v>639</v>
      </c>
      <c r="C96" s="258" t="s">
        <v>640</v>
      </c>
      <c r="D96" s="258" t="s">
        <v>641</v>
      </c>
      <c r="E96" s="262" t="s">
        <v>642</v>
      </c>
      <c r="F96" s="223"/>
      <c r="G96" s="76"/>
      <c r="H96" s="76"/>
      <c r="I96" s="34"/>
    </row>
    <row r="97" spans="1:9" s="22" customFormat="1" ht="15" hidden="1" thickBot="1">
      <c r="A97" s="521" t="s">
        <v>242</v>
      </c>
      <c r="B97" s="258" t="s">
        <v>643</v>
      </c>
      <c r="C97" s="258" t="s">
        <v>1553</v>
      </c>
      <c r="D97" s="258" t="s">
        <v>644</v>
      </c>
      <c r="E97" s="263" t="s">
        <v>645</v>
      </c>
      <c r="F97" s="225"/>
      <c r="G97" s="109"/>
      <c r="H97" s="109"/>
      <c r="I97" s="34"/>
    </row>
    <row r="98" spans="1:9" s="22" customFormat="1" ht="44" hidden="1" thickBot="1">
      <c r="A98" s="521" t="s">
        <v>396</v>
      </c>
      <c r="B98" s="259" t="s">
        <v>646</v>
      </c>
      <c r="C98" s="76" t="s">
        <v>647</v>
      </c>
      <c r="D98" s="76"/>
      <c r="E98" s="222"/>
      <c r="F98" s="223"/>
      <c r="G98" s="76"/>
      <c r="H98" s="76"/>
      <c r="I98" s="34"/>
    </row>
    <row r="99" spans="1:9" s="22" customFormat="1" ht="58.5" hidden="1" thickBot="1">
      <c r="A99" s="521" t="s">
        <v>399</v>
      </c>
      <c r="B99" s="264" t="s">
        <v>648</v>
      </c>
      <c r="C99" s="264" t="s">
        <v>649</v>
      </c>
      <c r="D99" s="259"/>
      <c r="E99" s="222"/>
      <c r="F99" s="223"/>
      <c r="G99" s="76"/>
      <c r="H99" s="76"/>
      <c r="I99" s="34"/>
    </row>
    <row r="100" spans="1:9" s="22" customFormat="1" hidden="1">
      <c r="A100" s="521" t="s">
        <v>650</v>
      </c>
      <c r="B100" s="76" t="s">
        <v>651</v>
      </c>
      <c r="C100" s="76" t="s">
        <v>652</v>
      </c>
      <c r="D100" s="258" t="s">
        <v>653</v>
      </c>
      <c r="E100" s="222"/>
      <c r="F100" s="223"/>
      <c r="G100" s="76"/>
      <c r="H100" s="76"/>
      <c r="I100" s="34"/>
    </row>
    <row r="101" spans="1:9" s="22" customFormat="1" hidden="1">
      <c r="A101" s="521" t="s">
        <v>654</v>
      </c>
      <c r="B101" s="76" t="s">
        <v>655</v>
      </c>
      <c r="C101" s="76" t="s">
        <v>656</v>
      </c>
      <c r="D101" s="76" t="s">
        <v>657</v>
      </c>
      <c r="E101" s="222"/>
      <c r="F101" s="223"/>
      <c r="G101" s="76"/>
      <c r="H101" s="76"/>
      <c r="I101" s="34"/>
    </row>
    <row r="102" spans="1:9" s="22" customFormat="1" hidden="1">
      <c r="A102" s="521"/>
      <c r="B102" s="76" t="s">
        <v>658</v>
      </c>
      <c r="C102" s="76" t="s">
        <v>659</v>
      </c>
      <c r="D102" s="76"/>
      <c r="E102" s="222"/>
      <c r="F102" s="223"/>
      <c r="G102" s="76"/>
      <c r="H102" s="76"/>
      <c r="I102" s="34"/>
    </row>
    <row r="103" spans="1:9" s="22" customFormat="1" hidden="1">
      <c r="A103" s="521"/>
      <c r="B103" s="76"/>
      <c r="C103" s="76"/>
      <c r="D103" s="76"/>
      <c r="E103" s="222"/>
      <c r="F103" s="223"/>
      <c r="G103" s="76"/>
      <c r="H103" s="76"/>
      <c r="I103" s="34"/>
    </row>
    <row r="104" spans="1:9" s="22" customFormat="1" hidden="1">
      <c r="A104" s="522"/>
      <c r="B104" s="76"/>
      <c r="C104" s="76"/>
      <c r="D104" s="76"/>
      <c r="E104" s="260"/>
      <c r="F104" s="261"/>
      <c r="G104" s="34"/>
      <c r="H104" s="34"/>
      <c r="I104" s="34"/>
    </row>
    <row r="105" spans="1:9" s="22" customFormat="1">
      <c r="A105" s="145" t="s">
        <v>6</v>
      </c>
      <c r="E105" s="144"/>
      <c r="F105" s="151"/>
    </row>
    <row r="106" spans="1:9" s="22" customFormat="1">
      <c r="A106" s="144"/>
      <c r="E106" s="144"/>
      <c r="F106" s="151"/>
    </row>
    <row r="107" spans="1:9" s="22" customFormat="1">
      <c r="A107" s="144"/>
      <c r="F107" s="28"/>
    </row>
    <row r="108" spans="1:9" s="22" customFormat="1">
      <c r="A108" s="144"/>
      <c r="F108" s="28"/>
    </row>
    <row r="109" spans="1:9" s="22" customFormat="1">
      <c r="A109" s="144"/>
      <c r="F109" s="28"/>
    </row>
    <row r="110" spans="1:9" s="22" customFormat="1" ht="19.5" customHeight="1">
      <c r="A110" s="144"/>
      <c r="F110" s="28"/>
    </row>
    <row r="111" spans="1:9" s="22" customFormat="1">
      <c r="A111" s="144"/>
      <c r="F111" s="28"/>
    </row>
    <row r="112" spans="1:9" s="22" customFormat="1">
      <c r="A112" s="144"/>
      <c r="F112" s="28"/>
    </row>
    <row r="113" spans="1:26" s="22" customFormat="1">
      <c r="A113" s="144"/>
      <c r="F113" s="28"/>
    </row>
    <row r="114" spans="1:26" s="22" customFormat="1">
      <c r="A114" s="144"/>
      <c r="F114" s="28"/>
    </row>
    <row r="115" spans="1:26" s="22" customFormat="1">
      <c r="A115" s="144"/>
      <c r="F115" s="28"/>
    </row>
    <row r="116" spans="1:26" s="22" customFormat="1">
      <c r="A116" s="144"/>
      <c r="F116" s="28"/>
    </row>
    <row r="117" spans="1:26" s="22" customFormat="1">
      <c r="A117" s="144"/>
      <c r="F117" s="28"/>
    </row>
    <row r="118" spans="1:26" s="22" customFormat="1">
      <c r="A118" s="144"/>
      <c r="F118" s="28"/>
    </row>
    <row r="119" spans="1:26" s="22" customFormat="1">
      <c r="A119" s="144"/>
      <c r="F119" s="28"/>
    </row>
    <row r="120" spans="1:26" s="22" customFormat="1">
      <c r="A120" s="144"/>
      <c r="F120" s="28"/>
    </row>
    <row r="121" spans="1:26">
      <c r="A121" s="144"/>
      <c r="B121" s="22"/>
      <c r="C121" s="22"/>
      <c r="D121" s="22"/>
      <c r="E121" s="22"/>
      <c r="F121" s="28"/>
      <c r="G121" s="22"/>
      <c r="H121" s="22"/>
      <c r="I121" s="22"/>
      <c r="J121" s="22"/>
      <c r="K121" s="22"/>
      <c r="L121" s="22"/>
      <c r="M121" s="22"/>
      <c r="N121" s="22"/>
      <c r="O121" s="22"/>
      <c r="P121" s="22"/>
      <c r="Q121" s="22"/>
      <c r="R121" s="22"/>
      <c r="S121" s="22"/>
      <c r="T121" s="22"/>
      <c r="U121" s="22"/>
      <c r="V121" s="22"/>
      <c r="W121" s="22"/>
      <c r="X121" s="22"/>
      <c r="Y121" s="22"/>
      <c r="Z121" s="22"/>
    </row>
    <row r="122" spans="1:26">
      <c r="A122" s="144"/>
      <c r="B122" s="22"/>
      <c r="C122" s="22"/>
      <c r="D122" s="22"/>
      <c r="E122" s="22"/>
      <c r="F122" s="28"/>
      <c r="G122" s="22"/>
      <c r="H122" s="22"/>
      <c r="I122" s="22"/>
      <c r="J122" s="22"/>
      <c r="K122" s="22"/>
      <c r="L122" s="22"/>
      <c r="M122" s="22"/>
      <c r="N122" s="22"/>
      <c r="O122" s="22"/>
      <c r="P122" s="22"/>
      <c r="Q122" s="22"/>
      <c r="R122" s="22"/>
      <c r="S122" s="22"/>
      <c r="T122" s="22"/>
      <c r="U122" s="22"/>
      <c r="V122" s="22"/>
      <c r="W122" s="22"/>
      <c r="X122" s="22"/>
      <c r="Y122" s="22"/>
      <c r="Z122" s="22"/>
    </row>
    <row r="123" spans="1:26">
      <c r="A123" s="144"/>
      <c r="B123" s="22"/>
      <c r="C123" s="22"/>
      <c r="D123" s="22"/>
      <c r="E123" s="22"/>
      <c r="F123" s="28"/>
      <c r="G123" s="22"/>
      <c r="H123" s="22"/>
      <c r="I123" s="22"/>
      <c r="J123" s="22"/>
      <c r="K123" s="22"/>
      <c r="L123" s="22"/>
      <c r="M123" s="22"/>
      <c r="N123" s="22"/>
      <c r="O123" s="22"/>
      <c r="P123" s="22"/>
      <c r="Q123" s="22"/>
      <c r="R123" s="22"/>
      <c r="S123" s="22"/>
      <c r="T123" s="22"/>
      <c r="U123" s="22"/>
      <c r="V123" s="22"/>
      <c r="W123" s="22"/>
      <c r="X123" s="22"/>
      <c r="Y123" s="22"/>
      <c r="Z123" s="22"/>
    </row>
    <row r="124" spans="1:26">
      <c r="A124" s="144"/>
      <c r="B124" s="22"/>
      <c r="C124" s="22"/>
      <c r="D124" s="22"/>
      <c r="E124" s="22"/>
      <c r="F124" s="28"/>
      <c r="G124" s="22"/>
      <c r="H124" s="22"/>
      <c r="I124" s="22"/>
      <c r="J124" s="22"/>
      <c r="K124" s="22"/>
      <c r="L124" s="22"/>
      <c r="M124" s="22"/>
      <c r="N124" s="22"/>
      <c r="O124" s="22"/>
      <c r="P124" s="22"/>
      <c r="Q124" s="22"/>
      <c r="R124" s="22"/>
      <c r="S124" s="22"/>
      <c r="T124" s="22"/>
      <c r="U124" s="22"/>
      <c r="V124" s="22"/>
      <c r="W124" s="22"/>
      <c r="X124" s="22"/>
      <c r="Y124" s="22"/>
      <c r="Z124" s="22"/>
    </row>
    <row r="125" spans="1:26">
      <c r="A125" s="144"/>
      <c r="B125" s="22"/>
      <c r="C125" s="22"/>
      <c r="D125" s="22"/>
      <c r="E125" s="22"/>
      <c r="F125" s="28"/>
      <c r="G125" s="22"/>
      <c r="H125" s="22"/>
      <c r="I125" s="22"/>
      <c r="J125" s="22"/>
      <c r="K125" s="22"/>
      <c r="L125" s="22"/>
      <c r="M125" s="22"/>
      <c r="N125" s="22"/>
      <c r="O125" s="22"/>
      <c r="P125" s="22"/>
      <c r="Q125" s="22"/>
      <c r="R125" s="22"/>
      <c r="S125" s="22"/>
      <c r="T125" s="22"/>
      <c r="U125" s="22"/>
      <c r="V125" s="22"/>
      <c r="W125" s="22"/>
      <c r="X125" s="22"/>
      <c r="Y125" s="22"/>
      <c r="Z125" s="22"/>
    </row>
    <row r="126" spans="1:26">
      <c r="A126" s="144"/>
      <c r="B126" s="22"/>
      <c r="C126" s="22"/>
      <c r="D126" s="22"/>
      <c r="E126" s="22"/>
      <c r="F126" s="28"/>
      <c r="G126" s="22"/>
      <c r="H126" s="22"/>
      <c r="I126" s="22"/>
      <c r="J126" s="22"/>
      <c r="K126" s="22"/>
      <c r="L126" s="22"/>
      <c r="M126" s="22"/>
      <c r="N126" s="22"/>
      <c r="O126" s="22"/>
      <c r="P126" s="22"/>
      <c r="Q126" s="22"/>
      <c r="R126" s="22"/>
      <c r="S126" s="22"/>
      <c r="T126" s="22"/>
      <c r="U126" s="22"/>
      <c r="V126" s="22"/>
      <c r="W126" s="22"/>
      <c r="X126" s="22"/>
      <c r="Y126" s="22"/>
      <c r="Z126" s="22"/>
    </row>
    <row r="127" spans="1:26">
      <c r="A127" s="144"/>
      <c r="B127" s="22"/>
      <c r="C127" s="22"/>
      <c r="D127" s="22"/>
      <c r="E127" s="22"/>
      <c r="F127" s="28"/>
      <c r="G127" s="22"/>
      <c r="H127" s="22"/>
      <c r="I127" s="22"/>
      <c r="J127" s="22"/>
      <c r="K127" s="22"/>
      <c r="L127" s="22"/>
      <c r="M127" s="22"/>
      <c r="N127" s="22"/>
      <c r="O127" s="22"/>
      <c r="P127" s="22"/>
      <c r="Q127" s="22"/>
      <c r="R127" s="22"/>
      <c r="S127" s="22"/>
      <c r="T127" s="22"/>
      <c r="U127" s="22"/>
    </row>
    <row r="128" spans="1:26">
      <c r="A128" s="144"/>
      <c r="B128" s="22"/>
      <c r="C128" s="22"/>
      <c r="D128" s="22"/>
      <c r="E128" s="22"/>
      <c r="F128" s="28"/>
      <c r="G128" s="22"/>
      <c r="H128" s="22"/>
      <c r="I128" s="22"/>
      <c r="J128" s="22"/>
      <c r="K128" s="22"/>
      <c r="L128" s="22"/>
      <c r="M128" s="22"/>
      <c r="N128" s="22"/>
      <c r="O128" s="22"/>
      <c r="P128" s="22"/>
      <c r="Q128" s="22"/>
      <c r="R128" s="22"/>
      <c r="S128" s="22"/>
      <c r="T128" s="22"/>
      <c r="U128" s="22"/>
    </row>
    <row r="129" spans="1:21">
      <c r="A129" s="144"/>
      <c r="B129" s="22"/>
      <c r="C129" s="22"/>
      <c r="D129" s="22"/>
      <c r="E129" s="22"/>
      <c r="F129" s="28"/>
      <c r="G129" s="22"/>
      <c r="H129" s="22"/>
      <c r="I129" s="22"/>
      <c r="J129" s="22"/>
      <c r="K129" s="22"/>
      <c r="L129" s="22"/>
      <c r="M129" s="22"/>
      <c r="N129" s="22"/>
      <c r="O129" s="22"/>
      <c r="P129" s="22"/>
      <c r="Q129" s="22"/>
      <c r="R129" s="22"/>
      <c r="S129" s="22"/>
      <c r="T129" s="22"/>
      <c r="U129" s="22"/>
    </row>
    <row r="130" spans="1:21">
      <c r="A130" s="144"/>
      <c r="B130" s="22"/>
      <c r="C130" s="22"/>
      <c r="D130" s="22"/>
      <c r="E130" s="22"/>
      <c r="F130" s="28"/>
      <c r="G130" s="22"/>
      <c r="H130" s="22"/>
      <c r="I130" s="22"/>
      <c r="J130" s="22"/>
      <c r="K130" s="22"/>
      <c r="L130" s="22"/>
      <c r="M130" s="22"/>
      <c r="N130" s="22"/>
      <c r="O130" s="22"/>
      <c r="P130" s="22"/>
      <c r="Q130" s="22"/>
      <c r="R130" s="22"/>
      <c r="S130" s="22"/>
      <c r="T130" s="22"/>
      <c r="U130" s="22"/>
    </row>
    <row r="131" spans="1:21">
      <c r="A131" s="144"/>
      <c r="B131" s="22"/>
      <c r="C131" s="22"/>
      <c r="D131" s="22"/>
      <c r="E131" s="22"/>
      <c r="F131" s="28"/>
      <c r="G131" s="22"/>
      <c r="H131" s="22"/>
      <c r="I131" s="22"/>
      <c r="J131" s="22"/>
      <c r="K131" s="22"/>
      <c r="L131" s="22"/>
      <c r="M131" s="22"/>
      <c r="N131" s="22"/>
      <c r="O131" s="22"/>
      <c r="P131" s="22"/>
      <c r="Q131" s="22"/>
      <c r="R131" s="22"/>
      <c r="S131" s="22"/>
      <c r="T131" s="22"/>
      <c r="U131" s="22"/>
    </row>
    <row r="132" spans="1:21">
      <c r="A132" s="144"/>
      <c r="B132" s="22"/>
      <c r="C132" s="22"/>
      <c r="D132" s="22"/>
      <c r="E132" s="22"/>
      <c r="F132" s="28"/>
      <c r="G132" s="22"/>
      <c r="H132" s="22"/>
      <c r="I132" s="22"/>
      <c r="J132" s="22"/>
      <c r="K132" s="22"/>
      <c r="L132" s="22"/>
      <c r="M132" s="22"/>
      <c r="N132" s="22"/>
      <c r="O132" s="22"/>
      <c r="P132" s="22"/>
      <c r="Q132" s="22"/>
      <c r="R132" s="22"/>
      <c r="S132" s="22"/>
      <c r="T132" s="22"/>
      <c r="U132" s="22"/>
    </row>
    <row r="133" spans="1:21">
      <c r="A133" s="144"/>
      <c r="B133" s="22"/>
      <c r="C133" s="22"/>
      <c r="D133" s="22"/>
      <c r="E133" s="22"/>
      <c r="F133" s="28"/>
      <c r="G133" s="22"/>
      <c r="H133" s="22"/>
      <c r="I133" s="22"/>
      <c r="J133" s="22"/>
      <c r="K133" s="22"/>
      <c r="L133" s="22"/>
      <c r="M133" s="22"/>
      <c r="N133" s="22"/>
      <c r="O133" s="22"/>
      <c r="P133" s="22"/>
      <c r="Q133" s="22"/>
      <c r="R133" s="22"/>
      <c r="S133" s="22"/>
      <c r="T133" s="22"/>
      <c r="U133" s="22"/>
    </row>
    <row r="134" spans="1:21">
      <c r="A134" s="144"/>
      <c r="B134" s="22"/>
      <c r="C134" s="22"/>
      <c r="D134" s="22"/>
      <c r="E134" s="22"/>
      <c r="F134" s="28"/>
      <c r="G134" s="22"/>
      <c r="H134" s="22"/>
      <c r="I134" s="22"/>
      <c r="J134" s="22"/>
      <c r="K134" s="22"/>
      <c r="L134" s="22"/>
      <c r="M134" s="22"/>
      <c r="N134" s="22"/>
      <c r="O134" s="22"/>
      <c r="P134" s="22"/>
      <c r="Q134" s="22"/>
      <c r="R134" s="22"/>
      <c r="S134" s="22"/>
      <c r="T134" s="22"/>
      <c r="U134" s="22"/>
    </row>
    <row r="135" spans="1:21">
      <c r="A135" s="144"/>
      <c r="B135" s="22"/>
      <c r="C135" s="22"/>
      <c r="D135" s="22"/>
      <c r="E135" s="22"/>
      <c r="F135" s="28"/>
      <c r="G135" s="22"/>
      <c r="H135" s="22"/>
      <c r="I135" s="22"/>
      <c r="J135" s="22"/>
      <c r="K135" s="22"/>
      <c r="L135" s="22"/>
      <c r="M135" s="22"/>
      <c r="N135" s="22"/>
      <c r="O135" s="22"/>
      <c r="P135" s="22"/>
      <c r="Q135" s="22"/>
      <c r="R135" s="22"/>
      <c r="S135" s="22"/>
      <c r="T135" s="22"/>
      <c r="U135" s="22"/>
    </row>
    <row r="136" spans="1:21">
      <c r="A136" s="144"/>
      <c r="B136" s="22"/>
      <c r="C136" s="22"/>
      <c r="D136" s="22"/>
      <c r="E136" s="22"/>
      <c r="F136" s="28"/>
      <c r="G136" s="22"/>
      <c r="H136" s="22"/>
      <c r="I136" s="22"/>
      <c r="J136" s="22"/>
      <c r="K136" s="22"/>
      <c r="L136" s="22"/>
      <c r="M136" s="22"/>
      <c r="N136" s="22"/>
      <c r="O136" s="22"/>
      <c r="P136" s="22"/>
      <c r="Q136" s="22"/>
      <c r="R136" s="22"/>
      <c r="S136" s="22"/>
      <c r="T136" s="22"/>
      <c r="U136" s="22"/>
    </row>
    <row r="137" spans="1:21">
      <c r="A137" s="144"/>
      <c r="B137" s="22"/>
      <c r="C137" s="22"/>
      <c r="D137" s="22"/>
      <c r="E137" s="22"/>
      <c r="F137" s="28"/>
      <c r="G137" s="22"/>
      <c r="H137" s="22"/>
      <c r="I137" s="22"/>
      <c r="J137" s="22"/>
      <c r="K137" s="22"/>
      <c r="L137" s="22"/>
      <c r="M137" s="22"/>
      <c r="N137" s="22"/>
      <c r="O137" s="22"/>
      <c r="P137" s="22"/>
      <c r="Q137" s="22"/>
      <c r="R137" s="22"/>
      <c r="S137" s="22"/>
      <c r="T137" s="22"/>
      <c r="U137" s="22"/>
    </row>
    <row r="138" spans="1:21">
      <c r="A138" s="144"/>
      <c r="B138" s="22"/>
      <c r="C138" s="22"/>
      <c r="D138" s="22"/>
      <c r="E138" s="22"/>
      <c r="F138" s="28"/>
      <c r="G138" s="22"/>
      <c r="H138" s="22"/>
      <c r="I138" s="22"/>
      <c r="J138" s="22"/>
      <c r="K138" s="22"/>
      <c r="L138" s="22"/>
      <c r="M138" s="22"/>
      <c r="N138" s="22"/>
      <c r="O138" s="22"/>
      <c r="P138" s="22"/>
      <c r="Q138" s="22"/>
      <c r="R138" s="22"/>
      <c r="S138" s="22"/>
      <c r="T138" s="22"/>
    </row>
    <row r="139" spans="1:21">
      <c r="A139" s="144"/>
      <c r="B139" s="22"/>
      <c r="C139" s="22"/>
      <c r="D139" s="22"/>
      <c r="E139" s="22"/>
      <c r="F139" s="28"/>
      <c r="G139" s="22"/>
      <c r="H139" s="22"/>
      <c r="I139" s="22"/>
      <c r="J139" s="22"/>
      <c r="K139" s="22"/>
      <c r="L139" s="22"/>
      <c r="M139" s="22"/>
      <c r="N139" s="22"/>
      <c r="O139" s="22"/>
      <c r="P139" s="22"/>
      <c r="Q139" s="22"/>
      <c r="R139" s="22"/>
      <c r="S139" s="22"/>
      <c r="T139" s="22"/>
    </row>
    <row r="140" spans="1:21">
      <c r="A140" s="144"/>
      <c r="B140" s="22"/>
      <c r="C140" s="22"/>
      <c r="D140" s="22"/>
      <c r="E140" s="22"/>
      <c r="F140" s="28"/>
      <c r="G140" s="22"/>
      <c r="H140" s="22"/>
      <c r="I140" s="22"/>
      <c r="J140" s="22"/>
      <c r="K140" s="22"/>
      <c r="L140" s="22"/>
      <c r="M140" s="22"/>
      <c r="N140" s="22"/>
      <c r="O140" s="22"/>
      <c r="P140" s="22"/>
      <c r="Q140" s="22"/>
      <c r="R140" s="22"/>
      <c r="S140" s="22"/>
      <c r="T140" s="22"/>
    </row>
    <row r="141" spans="1:21">
      <c r="A141" s="144"/>
      <c r="B141" s="22"/>
      <c r="C141" s="22"/>
      <c r="D141" s="22"/>
      <c r="E141" s="22"/>
      <c r="F141" s="28"/>
      <c r="G141" s="22"/>
      <c r="H141" s="22"/>
      <c r="I141" s="22"/>
      <c r="J141" s="22"/>
      <c r="K141" s="22"/>
      <c r="L141" s="22"/>
      <c r="M141" s="22"/>
      <c r="N141" s="22"/>
      <c r="O141" s="22"/>
      <c r="P141" s="22"/>
      <c r="Q141" s="22"/>
      <c r="R141" s="22"/>
      <c r="S141" s="22"/>
      <c r="T141" s="22"/>
    </row>
    <row r="142" spans="1:21">
      <c r="A142" s="144"/>
      <c r="B142" s="22"/>
      <c r="C142" s="22"/>
      <c r="D142" s="22"/>
      <c r="E142" s="22"/>
      <c r="F142" s="28"/>
      <c r="G142" s="22"/>
      <c r="H142" s="22"/>
      <c r="I142" s="22"/>
      <c r="J142" s="22"/>
      <c r="K142" s="22"/>
      <c r="L142" s="22"/>
      <c r="M142" s="22"/>
      <c r="N142" s="22"/>
      <c r="O142" s="22"/>
      <c r="P142" s="22"/>
      <c r="Q142" s="22"/>
      <c r="R142" s="22"/>
      <c r="S142" s="22"/>
      <c r="T142" s="22"/>
    </row>
    <row r="143" spans="1:21">
      <c r="A143" s="144"/>
      <c r="B143" s="22"/>
      <c r="C143" s="22"/>
      <c r="D143" s="22"/>
      <c r="E143" s="22"/>
      <c r="F143" s="28"/>
      <c r="G143" s="22"/>
      <c r="H143" s="22"/>
      <c r="I143" s="22"/>
      <c r="J143" s="22"/>
      <c r="K143" s="22"/>
      <c r="L143" s="22"/>
      <c r="M143" s="22"/>
      <c r="N143" s="22"/>
      <c r="O143" s="22"/>
      <c r="P143" s="22"/>
      <c r="Q143" s="22"/>
      <c r="R143" s="22"/>
      <c r="S143" s="22"/>
      <c r="T143" s="22"/>
    </row>
    <row r="144" spans="1:21">
      <c r="A144" s="144"/>
      <c r="B144" s="22"/>
      <c r="C144" s="22"/>
      <c r="D144" s="22"/>
      <c r="E144" s="22"/>
      <c r="F144" s="28"/>
      <c r="G144" s="22"/>
      <c r="H144" s="22"/>
      <c r="I144" s="22"/>
      <c r="J144" s="22"/>
      <c r="K144" s="22"/>
      <c r="L144" s="22"/>
      <c r="M144" s="22"/>
      <c r="N144" s="22"/>
      <c r="O144" s="22"/>
      <c r="P144" s="22"/>
      <c r="Q144" s="22"/>
      <c r="R144" s="22"/>
      <c r="S144" s="22"/>
      <c r="T144" s="22"/>
    </row>
    <row r="145" spans="1:20">
      <c r="A145" s="144"/>
      <c r="B145" s="22"/>
      <c r="C145" s="22"/>
      <c r="D145" s="22"/>
      <c r="E145" s="22"/>
      <c r="F145" s="28"/>
      <c r="G145" s="22"/>
      <c r="H145" s="22"/>
      <c r="I145" s="22"/>
      <c r="J145" s="22"/>
      <c r="K145" s="22"/>
      <c r="L145" s="22"/>
      <c r="M145" s="22"/>
      <c r="N145" s="22"/>
      <c r="O145" s="22"/>
      <c r="P145" s="22"/>
      <c r="Q145" s="22"/>
      <c r="R145" s="22"/>
      <c r="S145" s="22"/>
      <c r="T145" s="22"/>
    </row>
    <row r="146" spans="1:20">
      <c r="A146" s="144"/>
      <c r="B146" s="22"/>
      <c r="C146" s="22"/>
      <c r="D146" s="22"/>
      <c r="E146" s="22"/>
      <c r="F146" s="28"/>
      <c r="G146" s="22"/>
      <c r="H146" s="22"/>
      <c r="I146" s="22"/>
      <c r="J146" s="22"/>
      <c r="K146" s="22"/>
      <c r="L146" s="22"/>
      <c r="M146" s="22"/>
      <c r="N146" s="22"/>
      <c r="O146" s="22"/>
      <c r="P146" s="22"/>
      <c r="Q146" s="22"/>
      <c r="R146" s="22"/>
      <c r="S146" s="22"/>
      <c r="T146" s="22"/>
    </row>
    <row r="147" spans="1:20">
      <c r="A147" s="144"/>
      <c r="B147" s="22"/>
      <c r="C147" s="22"/>
      <c r="D147" s="22"/>
      <c r="E147" s="22"/>
      <c r="F147" s="28"/>
      <c r="G147" s="22"/>
      <c r="H147" s="22"/>
      <c r="I147" s="22"/>
      <c r="J147" s="22"/>
      <c r="K147" s="22"/>
      <c r="L147" s="22"/>
      <c r="M147" s="22"/>
      <c r="N147" s="22"/>
      <c r="O147" s="22"/>
      <c r="P147" s="22"/>
      <c r="Q147" s="22"/>
      <c r="R147" s="22"/>
      <c r="S147" s="22"/>
      <c r="T147" s="22"/>
    </row>
    <row r="148" spans="1:20">
      <c r="A148" s="144"/>
      <c r="B148" s="22"/>
      <c r="C148" s="22"/>
      <c r="D148" s="22"/>
      <c r="E148" s="22"/>
      <c r="F148" s="28"/>
      <c r="G148" s="22"/>
      <c r="H148" s="22"/>
      <c r="I148" s="22"/>
      <c r="J148" s="22"/>
      <c r="K148" s="22"/>
      <c r="L148" s="22"/>
      <c r="M148" s="22"/>
      <c r="N148" s="22"/>
      <c r="O148" s="22"/>
      <c r="P148" s="22"/>
      <c r="Q148" s="22"/>
      <c r="R148" s="22"/>
      <c r="S148" s="22"/>
      <c r="T148" s="22"/>
    </row>
    <row r="149" spans="1:20">
      <c r="A149" s="144"/>
      <c r="B149" s="22"/>
      <c r="C149" s="22"/>
      <c r="D149" s="22"/>
      <c r="E149" s="22"/>
      <c r="F149" s="28"/>
      <c r="G149" s="22"/>
      <c r="H149" s="22"/>
      <c r="I149" s="22"/>
      <c r="J149" s="22"/>
      <c r="K149" s="22"/>
      <c r="L149" s="22"/>
      <c r="M149" s="22"/>
      <c r="N149" s="22"/>
      <c r="O149" s="22"/>
      <c r="P149" s="22"/>
      <c r="Q149" s="22"/>
      <c r="R149" s="22"/>
      <c r="S149" s="22"/>
      <c r="T149" s="22"/>
    </row>
    <row r="150" spans="1:20">
      <c r="A150" s="144"/>
      <c r="B150" s="22"/>
      <c r="C150" s="22"/>
      <c r="D150" s="22"/>
      <c r="E150" s="22"/>
      <c r="F150" s="28"/>
      <c r="G150" s="22"/>
      <c r="H150" s="22"/>
      <c r="I150" s="22"/>
      <c r="J150" s="22"/>
      <c r="K150" s="22"/>
      <c r="L150" s="22"/>
      <c r="M150" s="22"/>
      <c r="N150" s="22"/>
      <c r="O150" s="22"/>
      <c r="P150" s="22"/>
      <c r="Q150" s="22"/>
      <c r="R150" s="22"/>
      <c r="S150" s="22"/>
      <c r="T150" s="22"/>
    </row>
    <row r="151" spans="1:20">
      <c r="A151" s="144"/>
      <c r="B151" s="22"/>
      <c r="C151" s="22"/>
      <c r="D151" s="22"/>
      <c r="E151" s="22"/>
      <c r="F151" s="28"/>
      <c r="G151" s="22"/>
      <c r="H151" s="22"/>
      <c r="I151" s="22"/>
      <c r="J151" s="22"/>
      <c r="K151" s="22"/>
      <c r="L151" s="22"/>
      <c r="M151" s="22"/>
      <c r="N151" s="22"/>
      <c r="O151" s="22"/>
      <c r="P151" s="22"/>
      <c r="Q151" s="22"/>
      <c r="R151" s="22"/>
      <c r="S151" s="22"/>
      <c r="T151" s="22"/>
    </row>
    <row r="152" spans="1:20">
      <c r="A152" s="144"/>
      <c r="B152" s="22"/>
      <c r="C152" s="22"/>
      <c r="D152" s="22"/>
      <c r="E152" s="22"/>
      <c r="F152" s="28"/>
      <c r="G152" s="22"/>
      <c r="H152" s="22"/>
      <c r="I152" s="22"/>
      <c r="J152" s="22"/>
      <c r="K152" s="22"/>
      <c r="L152" s="22"/>
      <c r="M152" s="22"/>
      <c r="N152" s="22"/>
      <c r="O152" s="22"/>
      <c r="P152" s="22"/>
      <c r="Q152" s="22"/>
      <c r="R152" s="22"/>
      <c r="S152" s="22"/>
      <c r="T152" s="22"/>
    </row>
    <row r="153" spans="1:20">
      <c r="A153" s="144"/>
      <c r="B153" s="22"/>
      <c r="C153" s="22"/>
      <c r="D153" s="22"/>
      <c r="E153" s="22"/>
      <c r="F153" s="28"/>
      <c r="G153" s="22"/>
      <c r="H153" s="22"/>
      <c r="I153" s="22"/>
      <c r="J153" s="22"/>
      <c r="K153" s="22"/>
      <c r="L153" s="22"/>
      <c r="M153" s="22"/>
      <c r="N153" s="22"/>
      <c r="O153" s="22"/>
      <c r="P153" s="22"/>
      <c r="Q153" s="22"/>
      <c r="R153" s="22"/>
      <c r="S153" s="22"/>
      <c r="T153" s="22"/>
    </row>
    <row r="154" spans="1:20">
      <c r="A154" s="144"/>
      <c r="B154" s="22"/>
      <c r="C154" s="22"/>
      <c r="D154" s="22"/>
      <c r="E154" s="22"/>
      <c r="F154" s="28"/>
      <c r="G154" s="22"/>
      <c r="H154" s="22"/>
      <c r="I154" s="22"/>
      <c r="J154" s="22"/>
      <c r="K154" s="22"/>
      <c r="L154" s="22"/>
      <c r="M154" s="22"/>
      <c r="N154" s="22"/>
      <c r="O154" s="22"/>
      <c r="P154" s="22"/>
      <c r="Q154" s="22"/>
      <c r="R154" s="22"/>
      <c r="S154" s="22"/>
      <c r="T154" s="22"/>
    </row>
    <row r="155" spans="1:20">
      <c r="A155" s="144"/>
      <c r="B155" s="22"/>
      <c r="C155" s="22"/>
      <c r="D155" s="22"/>
      <c r="E155" s="22"/>
      <c r="F155" s="28"/>
      <c r="G155" s="22"/>
      <c r="H155" s="22"/>
      <c r="I155" s="22"/>
      <c r="J155" s="22"/>
      <c r="K155" s="22"/>
      <c r="L155" s="22"/>
      <c r="M155" s="22"/>
      <c r="N155" s="22"/>
      <c r="O155" s="22"/>
      <c r="P155" s="22"/>
      <c r="Q155" s="22"/>
      <c r="R155" s="22"/>
      <c r="S155" s="22"/>
      <c r="T155" s="22"/>
    </row>
    <row r="156" spans="1:20">
      <c r="A156" s="144"/>
      <c r="B156" s="22"/>
      <c r="C156" s="22"/>
      <c r="D156" s="22"/>
      <c r="E156" s="22"/>
      <c r="F156" s="28"/>
      <c r="G156" s="22"/>
      <c r="H156" s="22"/>
      <c r="I156" s="22"/>
      <c r="J156" s="22"/>
      <c r="K156" s="22"/>
      <c r="L156" s="22"/>
      <c r="M156" s="22"/>
      <c r="N156" s="22"/>
      <c r="O156" s="22"/>
      <c r="P156" s="22"/>
      <c r="Q156" s="22"/>
      <c r="R156" s="22"/>
      <c r="S156" s="22"/>
      <c r="T156" s="22"/>
    </row>
    <row r="157" spans="1:20">
      <c r="A157" s="144"/>
      <c r="B157" s="22"/>
      <c r="C157" s="22"/>
      <c r="D157" s="22"/>
      <c r="E157" s="22"/>
      <c r="F157" s="28"/>
      <c r="G157" s="22"/>
      <c r="H157" s="22"/>
      <c r="I157" s="22"/>
      <c r="J157" s="22"/>
      <c r="K157" s="22"/>
      <c r="L157" s="22"/>
      <c r="M157" s="22"/>
      <c r="N157" s="22"/>
      <c r="O157" s="22"/>
      <c r="P157" s="22"/>
      <c r="Q157" s="22"/>
      <c r="R157" s="22"/>
      <c r="S157" s="22"/>
      <c r="T157" s="22"/>
    </row>
    <row r="158" spans="1:20">
      <c r="A158" s="144"/>
      <c r="B158" s="22"/>
      <c r="C158" s="22"/>
      <c r="D158" s="22"/>
      <c r="E158" s="22"/>
      <c r="F158" s="28"/>
      <c r="G158" s="22"/>
      <c r="H158" s="22"/>
      <c r="I158" s="22"/>
      <c r="J158" s="22"/>
      <c r="K158" s="22"/>
      <c r="L158" s="22"/>
      <c r="M158" s="22"/>
      <c r="N158" s="22"/>
      <c r="O158" s="22"/>
      <c r="P158" s="22"/>
      <c r="Q158" s="22"/>
      <c r="R158" s="22"/>
      <c r="S158" s="22"/>
      <c r="T158" s="22"/>
    </row>
    <row r="159" spans="1:20">
      <c r="A159" s="144"/>
      <c r="B159" s="22"/>
      <c r="C159" s="22"/>
      <c r="D159" s="22"/>
      <c r="E159" s="22"/>
      <c r="F159" s="28"/>
      <c r="G159" s="22"/>
      <c r="H159" s="22"/>
      <c r="I159" s="22"/>
      <c r="J159" s="22"/>
      <c r="K159" s="22"/>
      <c r="L159" s="22"/>
      <c r="M159" s="22"/>
      <c r="N159" s="22"/>
      <c r="O159" s="22"/>
      <c r="P159" s="22"/>
      <c r="Q159" s="22"/>
      <c r="R159" s="22"/>
      <c r="S159" s="22"/>
      <c r="T159" s="22"/>
    </row>
    <row r="160" spans="1:20">
      <c r="A160" s="144"/>
      <c r="B160" s="22"/>
      <c r="C160" s="22"/>
      <c r="D160" s="22"/>
      <c r="E160" s="22"/>
      <c r="F160" s="28"/>
      <c r="G160" s="22"/>
      <c r="H160" s="22"/>
      <c r="I160" s="22"/>
      <c r="J160" s="22"/>
      <c r="K160" s="22"/>
      <c r="L160" s="22"/>
      <c r="M160" s="22"/>
      <c r="N160" s="22"/>
      <c r="O160" s="22"/>
      <c r="P160" s="22"/>
      <c r="Q160" s="22"/>
      <c r="R160" s="22"/>
      <c r="S160" s="22"/>
      <c r="T160" s="22"/>
    </row>
    <row r="161" spans="1:20">
      <c r="A161" s="144"/>
      <c r="B161" s="22"/>
      <c r="C161" s="22"/>
      <c r="D161" s="22"/>
      <c r="E161" s="22"/>
      <c r="F161" s="28"/>
      <c r="G161" s="22"/>
      <c r="H161" s="22"/>
      <c r="I161" s="22"/>
      <c r="J161" s="22"/>
      <c r="K161" s="22"/>
      <c r="L161" s="22"/>
      <c r="M161" s="22"/>
      <c r="N161" s="22"/>
      <c r="O161" s="22"/>
      <c r="P161" s="22"/>
      <c r="Q161" s="22"/>
      <c r="R161" s="22"/>
      <c r="S161" s="22"/>
      <c r="T161" s="22"/>
    </row>
    <row r="162" spans="1:20">
      <c r="A162" s="144"/>
      <c r="B162" s="22"/>
      <c r="C162" s="22"/>
      <c r="D162" s="22"/>
      <c r="E162" s="22"/>
      <c r="F162" s="28"/>
      <c r="G162" s="22"/>
      <c r="H162" s="22"/>
      <c r="I162" s="22"/>
      <c r="J162" s="22"/>
      <c r="K162" s="22"/>
      <c r="L162" s="22"/>
      <c r="M162" s="22"/>
      <c r="N162" s="22"/>
      <c r="O162" s="22"/>
      <c r="P162" s="22"/>
      <c r="Q162" s="22"/>
      <c r="R162" s="22"/>
      <c r="S162" s="22"/>
      <c r="T162" s="22"/>
    </row>
    <row r="163" spans="1:20">
      <c r="A163" s="144"/>
      <c r="B163" s="22"/>
      <c r="C163" s="22"/>
      <c r="D163" s="22"/>
      <c r="E163" s="22"/>
      <c r="F163" s="28"/>
      <c r="G163" s="22"/>
      <c r="H163" s="22"/>
      <c r="I163" s="22"/>
      <c r="J163" s="22"/>
      <c r="K163" s="22"/>
      <c r="L163" s="22"/>
      <c r="M163" s="22"/>
      <c r="N163" s="22"/>
      <c r="O163" s="22"/>
      <c r="P163" s="22"/>
      <c r="Q163" s="22"/>
      <c r="R163" s="22"/>
      <c r="S163" s="22"/>
      <c r="T163" s="22"/>
    </row>
    <row r="164" spans="1:20">
      <c r="A164" s="144"/>
      <c r="B164" s="22"/>
      <c r="C164" s="22"/>
      <c r="D164" s="22"/>
      <c r="E164" s="22"/>
      <c r="F164" s="28"/>
      <c r="G164" s="22"/>
      <c r="H164" s="22"/>
      <c r="I164" s="22"/>
      <c r="J164" s="22"/>
      <c r="K164" s="22"/>
      <c r="L164" s="22"/>
      <c r="M164" s="22"/>
      <c r="N164" s="22"/>
      <c r="O164" s="22"/>
      <c r="P164" s="22"/>
      <c r="Q164" s="22"/>
      <c r="R164" s="22"/>
      <c r="S164" s="22"/>
      <c r="T164" s="22"/>
    </row>
    <row r="165" spans="1:20">
      <c r="A165" s="144"/>
      <c r="B165" s="22"/>
      <c r="C165" s="22"/>
      <c r="D165" s="22"/>
      <c r="E165" s="22"/>
      <c r="F165" s="28"/>
      <c r="G165" s="22"/>
      <c r="H165" s="22"/>
      <c r="I165" s="22"/>
      <c r="J165" s="22"/>
      <c r="K165" s="22"/>
      <c r="L165" s="22"/>
      <c r="M165" s="22"/>
      <c r="N165" s="22"/>
      <c r="O165" s="22"/>
      <c r="P165" s="22"/>
      <c r="Q165" s="22"/>
      <c r="R165" s="22"/>
      <c r="S165" s="22"/>
      <c r="T165" s="22"/>
    </row>
    <row r="166" spans="1:20">
      <c r="A166" s="144"/>
      <c r="B166" s="22"/>
      <c r="C166" s="22"/>
      <c r="D166" s="22"/>
      <c r="E166" s="22"/>
      <c r="F166" s="28"/>
      <c r="G166" s="22"/>
      <c r="H166" s="22"/>
      <c r="I166" s="22"/>
      <c r="J166" s="22"/>
      <c r="K166" s="22"/>
      <c r="L166" s="22"/>
      <c r="M166" s="22"/>
      <c r="N166" s="22"/>
      <c r="O166" s="22"/>
      <c r="P166" s="22"/>
      <c r="Q166" s="22"/>
      <c r="R166" s="22"/>
      <c r="S166" s="22"/>
      <c r="T166" s="22"/>
    </row>
    <row r="167" spans="1:20">
      <c r="A167" s="144"/>
      <c r="B167" s="22"/>
      <c r="C167" s="22"/>
      <c r="D167" s="22"/>
      <c r="E167" s="22"/>
      <c r="F167" s="28"/>
      <c r="G167" s="22"/>
      <c r="H167" s="22"/>
      <c r="I167" s="22"/>
      <c r="J167" s="22"/>
      <c r="K167" s="22"/>
      <c r="L167" s="22"/>
      <c r="M167" s="22"/>
      <c r="N167" s="22"/>
      <c r="O167" s="22"/>
      <c r="P167" s="22"/>
      <c r="Q167" s="22"/>
      <c r="R167" s="22"/>
      <c r="S167" s="22"/>
      <c r="T167" s="22"/>
    </row>
    <row r="168" spans="1:20">
      <c r="A168" s="144"/>
      <c r="B168" s="22"/>
      <c r="C168" s="22"/>
      <c r="D168" s="22"/>
      <c r="E168" s="22"/>
      <c r="F168" s="28"/>
      <c r="G168" s="22"/>
      <c r="H168" s="22"/>
      <c r="I168" s="22"/>
      <c r="J168" s="22"/>
      <c r="K168" s="22"/>
      <c r="L168" s="22"/>
      <c r="M168" s="22"/>
      <c r="N168" s="22"/>
      <c r="O168" s="22"/>
      <c r="P168" s="22"/>
      <c r="Q168" s="22"/>
      <c r="R168" s="22"/>
      <c r="S168" s="22"/>
      <c r="T168" s="22"/>
    </row>
    <row r="169" spans="1:20">
      <c r="A169" s="144"/>
      <c r="B169" s="22"/>
      <c r="C169" s="22"/>
      <c r="D169" s="22"/>
      <c r="E169" s="22"/>
      <c r="F169" s="28"/>
      <c r="G169" s="22"/>
      <c r="H169" s="22"/>
      <c r="I169" s="22"/>
      <c r="J169" s="22"/>
      <c r="K169" s="22"/>
      <c r="L169" s="22"/>
      <c r="M169" s="22"/>
      <c r="N169" s="22"/>
      <c r="O169" s="22"/>
      <c r="P169" s="22"/>
      <c r="Q169" s="22"/>
      <c r="R169" s="22"/>
      <c r="S169" s="22"/>
      <c r="T169" s="22"/>
    </row>
    <row r="170" spans="1:20">
      <c r="A170" s="144"/>
      <c r="B170" s="22"/>
      <c r="C170" s="22"/>
      <c r="D170" s="22"/>
      <c r="E170" s="22"/>
      <c r="F170" s="28"/>
      <c r="G170" s="22"/>
      <c r="H170" s="22"/>
      <c r="I170" s="22"/>
      <c r="J170" s="22"/>
      <c r="K170" s="22"/>
      <c r="L170" s="22"/>
      <c r="M170" s="22"/>
      <c r="N170" s="22"/>
      <c r="O170" s="22"/>
      <c r="P170" s="22"/>
      <c r="Q170" s="22"/>
      <c r="R170" s="22"/>
      <c r="S170" s="22"/>
      <c r="T170" s="22"/>
    </row>
    <row r="171" spans="1:20">
      <c r="A171" s="144"/>
      <c r="B171" s="22"/>
      <c r="C171" s="22"/>
      <c r="D171" s="22"/>
      <c r="E171" s="22"/>
      <c r="F171" s="28"/>
      <c r="G171" s="22"/>
      <c r="H171" s="22"/>
      <c r="I171" s="22"/>
      <c r="J171" s="22"/>
      <c r="K171" s="22"/>
      <c r="L171" s="22"/>
      <c r="M171" s="22"/>
      <c r="N171" s="22"/>
      <c r="O171" s="22"/>
      <c r="P171" s="22"/>
      <c r="Q171" s="22"/>
      <c r="R171" s="22"/>
      <c r="S171" s="22"/>
      <c r="T171" s="22"/>
    </row>
    <row r="172" spans="1:20">
      <c r="A172" s="144"/>
      <c r="B172" s="22"/>
      <c r="C172" s="22"/>
      <c r="D172" s="22"/>
      <c r="E172" s="22"/>
      <c r="F172" s="28"/>
      <c r="G172" s="22"/>
      <c r="H172" s="22"/>
      <c r="I172" s="22"/>
      <c r="J172" s="22"/>
      <c r="K172" s="22"/>
      <c r="L172" s="22"/>
      <c r="M172" s="22"/>
      <c r="N172" s="22"/>
      <c r="O172" s="22"/>
      <c r="P172" s="22"/>
      <c r="Q172" s="22"/>
      <c r="R172" s="22"/>
      <c r="S172" s="22"/>
      <c r="T172" s="22"/>
    </row>
    <row r="173" spans="1:20">
      <c r="A173" s="144"/>
      <c r="B173" s="22"/>
      <c r="C173" s="22"/>
      <c r="D173" s="22"/>
      <c r="E173" s="22"/>
      <c r="F173" s="28"/>
      <c r="G173" s="22"/>
      <c r="H173" s="22"/>
      <c r="I173" s="22"/>
      <c r="J173" s="22"/>
      <c r="K173" s="22"/>
      <c r="L173" s="22"/>
      <c r="M173" s="22"/>
      <c r="N173" s="22"/>
      <c r="O173" s="22"/>
      <c r="P173" s="22"/>
      <c r="Q173" s="22"/>
      <c r="R173" s="22"/>
      <c r="S173" s="22"/>
      <c r="T173" s="22"/>
    </row>
    <row r="174" spans="1:20">
      <c r="A174" s="144"/>
      <c r="B174" s="22"/>
      <c r="C174" s="22"/>
      <c r="D174" s="22"/>
      <c r="E174" s="22"/>
      <c r="F174" s="28"/>
      <c r="G174" s="22"/>
      <c r="H174" s="22"/>
      <c r="I174" s="22"/>
      <c r="J174" s="22"/>
      <c r="K174" s="22"/>
      <c r="L174" s="22"/>
      <c r="M174" s="22"/>
      <c r="N174" s="22"/>
      <c r="O174" s="22"/>
      <c r="P174" s="22"/>
      <c r="Q174" s="22"/>
      <c r="R174" s="22"/>
      <c r="S174" s="22"/>
      <c r="T174" s="22"/>
    </row>
    <row r="175" spans="1:20">
      <c r="A175" s="144"/>
      <c r="B175" s="22"/>
      <c r="C175" s="22"/>
      <c r="D175" s="22"/>
      <c r="E175" s="22"/>
      <c r="F175" s="28"/>
      <c r="G175" s="22"/>
      <c r="H175" s="22"/>
      <c r="I175" s="22"/>
      <c r="J175" s="22"/>
      <c r="K175" s="22"/>
      <c r="L175" s="22"/>
      <c r="M175" s="22"/>
      <c r="N175" s="22"/>
      <c r="O175" s="22"/>
      <c r="P175" s="22"/>
      <c r="Q175" s="22"/>
      <c r="R175" s="22"/>
      <c r="S175" s="22"/>
      <c r="T175" s="22"/>
    </row>
    <row r="176" spans="1:20">
      <c r="A176" s="144"/>
      <c r="B176" s="22"/>
      <c r="C176" s="22"/>
      <c r="D176" s="22"/>
      <c r="E176" s="22"/>
      <c r="F176" s="28"/>
      <c r="G176" s="22"/>
      <c r="H176" s="22"/>
      <c r="I176" s="22"/>
      <c r="J176" s="22"/>
      <c r="K176" s="22"/>
      <c r="L176" s="22"/>
      <c r="M176" s="22"/>
      <c r="N176" s="22"/>
      <c r="O176" s="22"/>
      <c r="P176" s="22"/>
      <c r="Q176" s="22"/>
      <c r="R176" s="22"/>
      <c r="S176" s="22"/>
      <c r="T176" s="22"/>
    </row>
    <row r="177" spans="1:20">
      <c r="A177" s="144"/>
      <c r="B177" s="22"/>
      <c r="C177" s="22"/>
      <c r="D177" s="22"/>
      <c r="E177" s="22"/>
      <c r="F177" s="28"/>
      <c r="G177" s="22"/>
      <c r="H177" s="22"/>
      <c r="I177" s="22"/>
      <c r="J177" s="22"/>
      <c r="K177" s="22"/>
      <c r="L177" s="22"/>
      <c r="M177" s="22"/>
      <c r="N177" s="22"/>
      <c r="O177" s="22"/>
      <c r="P177" s="22"/>
      <c r="Q177" s="22"/>
      <c r="R177" s="22"/>
      <c r="S177" s="22"/>
      <c r="T177" s="22"/>
    </row>
    <row r="178" spans="1:20">
      <c r="A178" s="144"/>
      <c r="B178" s="22"/>
      <c r="C178" s="22"/>
      <c r="D178" s="22"/>
      <c r="E178" s="22"/>
      <c r="F178" s="28"/>
      <c r="G178" s="22"/>
      <c r="H178" s="22"/>
      <c r="I178" s="22"/>
      <c r="J178" s="22"/>
      <c r="K178" s="22"/>
      <c r="L178" s="22"/>
      <c r="M178" s="22"/>
      <c r="N178" s="22"/>
      <c r="O178" s="22"/>
      <c r="P178" s="22"/>
      <c r="Q178" s="22"/>
      <c r="R178" s="22"/>
      <c r="S178" s="22"/>
      <c r="T178" s="22"/>
    </row>
    <row r="179" spans="1:20">
      <c r="A179" s="144"/>
      <c r="B179" s="22"/>
      <c r="C179" s="22"/>
      <c r="D179" s="22"/>
      <c r="E179" s="22"/>
      <c r="F179" s="28"/>
      <c r="G179" s="22"/>
      <c r="H179" s="22"/>
      <c r="I179" s="22"/>
      <c r="J179" s="22"/>
      <c r="K179" s="22"/>
      <c r="L179" s="22"/>
      <c r="M179" s="22"/>
      <c r="N179" s="22"/>
      <c r="O179" s="22"/>
      <c r="P179" s="22"/>
      <c r="Q179" s="22"/>
      <c r="R179" s="22"/>
      <c r="S179" s="22"/>
      <c r="T179" s="22"/>
    </row>
    <row r="180" spans="1:20">
      <c r="A180" s="144"/>
      <c r="B180" s="22"/>
      <c r="C180" s="22"/>
      <c r="D180" s="22"/>
      <c r="E180" s="22"/>
      <c r="F180" s="28"/>
      <c r="G180" s="22"/>
      <c r="H180" s="22"/>
      <c r="I180" s="22"/>
      <c r="J180" s="22"/>
      <c r="K180" s="22"/>
      <c r="L180" s="22"/>
      <c r="M180" s="22"/>
      <c r="N180" s="22"/>
      <c r="O180" s="22"/>
      <c r="P180" s="22"/>
      <c r="Q180" s="22"/>
      <c r="R180" s="22"/>
      <c r="S180" s="22"/>
      <c r="T180" s="22"/>
    </row>
    <row r="181" spans="1:20">
      <c r="A181" s="144"/>
      <c r="B181" s="22"/>
      <c r="C181" s="22"/>
      <c r="D181" s="22"/>
      <c r="E181" s="22"/>
      <c r="F181" s="28"/>
      <c r="G181" s="22"/>
      <c r="H181" s="22"/>
      <c r="I181" s="22"/>
      <c r="J181" s="22"/>
      <c r="K181" s="22"/>
      <c r="L181" s="22"/>
      <c r="M181" s="22"/>
      <c r="N181" s="22"/>
      <c r="O181" s="22"/>
      <c r="P181" s="22"/>
      <c r="Q181" s="22"/>
      <c r="R181" s="22"/>
      <c r="S181" s="22"/>
      <c r="T181" s="22"/>
    </row>
    <row r="182" spans="1:20">
      <c r="A182" s="144"/>
      <c r="B182" s="22"/>
      <c r="C182" s="22"/>
      <c r="D182" s="22"/>
      <c r="E182" s="22"/>
      <c r="F182" s="28"/>
      <c r="G182" s="22"/>
      <c r="H182" s="22"/>
      <c r="I182" s="22"/>
      <c r="J182" s="22"/>
      <c r="K182" s="22"/>
      <c r="L182" s="22"/>
      <c r="M182" s="22"/>
      <c r="N182" s="22"/>
      <c r="O182" s="22"/>
      <c r="P182" s="22"/>
      <c r="Q182" s="22"/>
      <c r="R182" s="22"/>
      <c r="S182" s="22"/>
      <c r="T182" s="22"/>
    </row>
    <row r="183" spans="1:20">
      <c r="A183" s="144"/>
      <c r="B183" s="22"/>
      <c r="C183" s="22"/>
      <c r="D183" s="22"/>
      <c r="E183" s="22"/>
      <c r="F183" s="28"/>
      <c r="G183" s="22"/>
      <c r="H183" s="22"/>
      <c r="I183" s="22"/>
      <c r="J183" s="22"/>
      <c r="K183" s="22"/>
      <c r="L183" s="22"/>
      <c r="M183" s="22"/>
      <c r="N183" s="22"/>
      <c r="O183" s="22"/>
      <c r="P183" s="22"/>
      <c r="Q183" s="22"/>
      <c r="R183" s="22"/>
      <c r="S183" s="22"/>
      <c r="T183" s="22"/>
    </row>
    <row r="184" spans="1:20">
      <c r="A184" s="144"/>
      <c r="B184" s="22"/>
      <c r="C184" s="22"/>
      <c r="D184" s="22"/>
      <c r="E184" s="22"/>
      <c r="F184" s="28"/>
      <c r="G184" s="22"/>
      <c r="H184" s="22"/>
      <c r="I184" s="22"/>
      <c r="J184" s="22"/>
      <c r="K184" s="22"/>
      <c r="L184" s="22"/>
      <c r="M184" s="22"/>
      <c r="N184" s="22"/>
      <c r="O184" s="22"/>
      <c r="P184" s="22"/>
      <c r="Q184" s="22"/>
      <c r="R184" s="22"/>
      <c r="S184" s="22"/>
      <c r="T184" s="22"/>
    </row>
    <row r="185" spans="1:20">
      <c r="A185" s="144"/>
      <c r="B185" s="22"/>
      <c r="C185" s="22"/>
      <c r="D185" s="22"/>
      <c r="E185" s="22"/>
      <c r="F185" s="28"/>
      <c r="G185" s="22"/>
      <c r="H185" s="22"/>
      <c r="I185" s="22"/>
      <c r="J185" s="22"/>
      <c r="K185" s="22"/>
      <c r="L185" s="22"/>
      <c r="M185" s="22"/>
      <c r="N185" s="22"/>
      <c r="O185" s="22"/>
      <c r="P185" s="22"/>
      <c r="Q185" s="22"/>
      <c r="R185" s="22"/>
      <c r="S185" s="22"/>
      <c r="T185" s="22"/>
    </row>
    <row r="186" spans="1:20">
      <c r="A186" s="144"/>
      <c r="B186" s="22"/>
      <c r="C186" s="22"/>
      <c r="D186" s="22"/>
      <c r="E186" s="22"/>
      <c r="F186" s="28"/>
      <c r="G186" s="22"/>
      <c r="H186" s="22"/>
      <c r="I186" s="22"/>
      <c r="J186" s="22"/>
      <c r="K186" s="22"/>
      <c r="L186" s="22"/>
      <c r="M186" s="22"/>
      <c r="N186" s="22"/>
      <c r="O186" s="22"/>
      <c r="P186" s="22"/>
      <c r="Q186" s="22"/>
      <c r="R186" s="22"/>
      <c r="S186" s="22"/>
      <c r="T186" s="22"/>
    </row>
    <row r="187" spans="1:20">
      <c r="A187" s="144"/>
      <c r="B187" s="22"/>
      <c r="C187" s="22"/>
      <c r="D187" s="22"/>
      <c r="E187" s="22"/>
      <c r="F187" s="28"/>
      <c r="G187" s="22"/>
      <c r="H187" s="22"/>
      <c r="I187" s="22"/>
      <c r="J187" s="22"/>
      <c r="K187" s="22"/>
      <c r="L187" s="22"/>
      <c r="M187" s="22"/>
      <c r="N187" s="22"/>
      <c r="O187" s="22"/>
      <c r="P187" s="22"/>
      <c r="Q187" s="22"/>
      <c r="R187" s="22"/>
      <c r="S187" s="22"/>
      <c r="T187" s="22"/>
    </row>
    <row r="188" spans="1:20">
      <c r="A188" s="144"/>
      <c r="B188" s="22"/>
      <c r="C188" s="22"/>
      <c r="D188" s="22"/>
      <c r="E188" s="22"/>
      <c r="F188" s="28"/>
      <c r="G188" s="22"/>
      <c r="H188" s="22"/>
      <c r="I188" s="22"/>
      <c r="J188" s="22"/>
      <c r="K188" s="22"/>
      <c r="L188" s="22"/>
      <c r="M188" s="22"/>
      <c r="N188" s="22"/>
      <c r="O188" s="22"/>
      <c r="P188" s="22"/>
      <c r="Q188" s="22"/>
      <c r="R188" s="22"/>
      <c r="S188" s="22"/>
      <c r="T188" s="22"/>
    </row>
    <row r="189" spans="1:20">
      <c r="A189" s="144"/>
      <c r="B189" s="22"/>
      <c r="C189" s="22"/>
      <c r="D189" s="22"/>
      <c r="E189" s="22"/>
      <c r="F189" s="28"/>
      <c r="G189" s="22"/>
      <c r="H189" s="22"/>
      <c r="I189" s="22"/>
      <c r="J189" s="22"/>
      <c r="K189" s="22"/>
      <c r="L189" s="22"/>
      <c r="M189" s="22"/>
      <c r="N189" s="22"/>
      <c r="O189" s="22"/>
      <c r="P189" s="22"/>
      <c r="Q189" s="22"/>
      <c r="R189" s="22"/>
      <c r="S189" s="22"/>
      <c r="T189" s="22"/>
    </row>
    <row r="190" spans="1:20">
      <c r="A190" s="144"/>
      <c r="B190" s="22"/>
      <c r="C190" s="22"/>
      <c r="D190" s="22"/>
      <c r="E190" s="22"/>
      <c r="F190" s="28"/>
      <c r="G190" s="22"/>
      <c r="H190" s="22"/>
      <c r="I190" s="22"/>
      <c r="J190" s="22"/>
      <c r="K190" s="22"/>
      <c r="L190" s="22"/>
      <c r="M190" s="22"/>
      <c r="N190" s="22"/>
      <c r="O190" s="22"/>
      <c r="P190" s="22"/>
      <c r="Q190" s="22"/>
      <c r="R190" s="22"/>
      <c r="S190" s="22"/>
      <c r="T190" s="22"/>
    </row>
    <row r="191" spans="1:20">
      <c r="A191" s="144"/>
      <c r="B191" s="22"/>
      <c r="C191" s="22"/>
      <c r="D191" s="22"/>
      <c r="E191" s="22"/>
      <c r="F191" s="28"/>
      <c r="G191" s="22"/>
      <c r="H191" s="22"/>
      <c r="I191" s="22"/>
      <c r="J191" s="22"/>
      <c r="K191" s="22"/>
      <c r="L191" s="22"/>
      <c r="M191" s="22"/>
      <c r="N191" s="22"/>
      <c r="O191" s="22"/>
      <c r="P191" s="22"/>
      <c r="Q191" s="22"/>
      <c r="R191" s="22"/>
      <c r="S191" s="22"/>
      <c r="T191" s="22"/>
    </row>
    <row r="192" spans="1:20">
      <c r="A192" s="144"/>
      <c r="B192" s="22"/>
      <c r="C192" s="22"/>
      <c r="D192" s="22"/>
      <c r="E192" s="22"/>
      <c r="F192" s="28"/>
      <c r="G192" s="22"/>
      <c r="H192" s="22"/>
      <c r="I192" s="22"/>
      <c r="J192" s="22"/>
      <c r="K192" s="22"/>
      <c r="L192" s="22"/>
      <c r="M192" s="22"/>
      <c r="N192" s="22"/>
      <c r="O192" s="22"/>
      <c r="P192" s="22"/>
      <c r="Q192" s="22"/>
      <c r="R192" s="22"/>
      <c r="S192" s="22"/>
      <c r="T192" s="22"/>
    </row>
    <row r="193" spans="1:20">
      <c r="A193" s="144"/>
      <c r="B193" s="22"/>
      <c r="C193" s="22"/>
      <c r="D193" s="22"/>
      <c r="E193" s="22"/>
      <c r="F193" s="28"/>
      <c r="G193" s="22"/>
      <c r="H193" s="22"/>
      <c r="I193" s="22"/>
      <c r="J193" s="22"/>
      <c r="K193" s="22"/>
      <c r="L193" s="22"/>
      <c r="M193" s="22"/>
      <c r="N193" s="22"/>
      <c r="O193" s="22"/>
      <c r="P193" s="22"/>
      <c r="Q193" s="22"/>
      <c r="R193" s="22"/>
      <c r="S193" s="22"/>
      <c r="T193" s="22"/>
    </row>
    <row r="194" spans="1:20">
      <c r="A194" s="144"/>
      <c r="B194" s="22"/>
      <c r="C194" s="22"/>
      <c r="D194" s="22"/>
      <c r="E194" s="22"/>
      <c r="F194" s="28"/>
      <c r="G194" s="22"/>
      <c r="H194" s="22"/>
      <c r="I194" s="22"/>
      <c r="J194" s="22"/>
      <c r="K194" s="22"/>
      <c r="L194" s="22"/>
      <c r="M194" s="22"/>
      <c r="N194" s="22"/>
      <c r="O194" s="22"/>
      <c r="P194" s="22"/>
      <c r="Q194" s="22"/>
      <c r="R194" s="22"/>
      <c r="S194" s="22"/>
      <c r="T194" s="22"/>
    </row>
    <row r="195" spans="1:20">
      <c r="A195" s="144"/>
      <c r="B195" s="22"/>
      <c r="C195" s="22"/>
      <c r="D195" s="22"/>
      <c r="E195" s="22"/>
      <c r="F195" s="28"/>
      <c r="G195" s="22"/>
      <c r="H195" s="22"/>
      <c r="I195" s="22"/>
      <c r="J195" s="22"/>
      <c r="K195" s="22"/>
      <c r="L195" s="22"/>
      <c r="M195" s="22"/>
      <c r="N195" s="22"/>
      <c r="O195" s="22"/>
      <c r="P195" s="22"/>
      <c r="Q195" s="22"/>
      <c r="R195" s="22"/>
      <c r="S195" s="22"/>
      <c r="T195" s="22"/>
    </row>
    <row r="196" spans="1:20">
      <c r="A196" s="144"/>
      <c r="B196" s="22"/>
      <c r="C196" s="22"/>
      <c r="D196" s="22"/>
      <c r="E196" s="22"/>
      <c r="F196" s="28"/>
      <c r="G196" s="22"/>
      <c r="H196" s="22"/>
      <c r="I196" s="22"/>
      <c r="J196" s="22"/>
      <c r="K196" s="22"/>
      <c r="L196" s="22"/>
      <c r="M196" s="22"/>
      <c r="N196" s="22"/>
      <c r="O196" s="22"/>
      <c r="P196" s="22"/>
      <c r="Q196" s="22"/>
      <c r="R196" s="22"/>
      <c r="S196" s="22"/>
      <c r="T196" s="22"/>
    </row>
    <row r="197" spans="1:20">
      <c r="A197" s="144"/>
      <c r="B197" s="22"/>
      <c r="C197" s="22"/>
      <c r="D197" s="22"/>
      <c r="E197" s="22"/>
      <c r="F197" s="28"/>
      <c r="G197" s="22"/>
      <c r="H197" s="22"/>
      <c r="I197" s="22"/>
      <c r="J197" s="22"/>
      <c r="K197" s="22"/>
      <c r="L197" s="22"/>
      <c r="M197" s="22"/>
      <c r="N197" s="22"/>
      <c r="O197" s="22"/>
      <c r="P197" s="22"/>
      <c r="Q197" s="22"/>
      <c r="R197" s="22"/>
      <c r="S197" s="22"/>
      <c r="T197" s="22"/>
    </row>
    <row r="198" spans="1:20">
      <c r="A198" s="144"/>
      <c r="B198" s="22"/>
      <c r="C198" s="22"/>
      <c r="D198" s="22"/>
      <c r="E198" s="22"/>
      <c r="F198" s="28"/>
      <c r="G198" s="22"/>
      <c r="H198" s="22"/>
      <c r="I198" s="22"/>
      <c r="J198" s="22"/>
      <c r="K198" s="22"/>
      <c r="L198" s="22"/>
      <c r="M198" s="22"/>
      <c r="N198" s="22"/>
      <c r="O198" s="22"/>
      <c r="P198" s="22"/>
      <c r="Q198" s="22"/>
      <c r="R198" s="22"/>
      <c r="S198" s="22"/>
      <c r="T198" s="22"/>
    </row>
    <row r="199" spans="1:20">
      <c r="A199" s="144"/>
      <c r="B199" s="22"/>
      <c r="C199" s="22"/>
      <c r="D199" s="22"/>
      <c r="E199" s="22"/>
      <c r="F199" s="28"/>
      <c r="G199" s="22"/>
      <c r="H199" s="22"/>
      <c r="I199" s="22"/>
      <c r="J199" s="22"/>
      <c r="K199" s="22"/>
      <c r="L199" s="22"/>
      <c r="M199" s="22"/>
      <c r="N199" s="22"/>
      <c r="O199" s="22"/>
      <c r="P199" s="22"/>
      <c r="Q199" s="22"/>
      <c r="R199" s="22"/>
      <c r="S199" s="22"/>
      <c r="T199" s="22"/>
    </row>
    <row r="200" spans="1:20">
      <c r="A200" s="144"/>
      <c r="B200" s="22"/>
      <c r="C200" s="22"/>
      <c r="D200" s="22"/>
      <c r="E200" s="22"/>
      <c r="F200" s="28"/>
      <c r="G200" s="22"/>
      <c r="H200" s="22"/>
      <c r="I200" s="22"/>
      <c r="J200" s="22"/>
      <c r="K200" s="22"/>
      <c r="L200" s="22"/>
      <c r="M200" s="22"/>
      <c r="N200" s="22"/>
      <c r="O200" s="22"/>
      <c r="P200" s="22"/>
      <c r="Q200" s="22"/>
      <c r="R200" s="22"/>
      <c r="S200" s="22"/>
      <c r="T200" s="22"/>
    </row>
    <row r="201" spans="1:20">
      <c r="A201" s="144"/>
      <c r="B201" s="22"/>
      <c r="C201" s="22"/>
      <c r="D201" s="22"/>
      <c r="E201" s="22"/>
      <c r="F201" s="28"/>
      <c r="G201" s="22"/>
      <c r="H201" s="22"/>
      <c r="I201" s="22"/>
      <c r="J201" s="22"/>
      <c r="K201" s="22"/>
      <c r="L201" s="22"/>
      <c r="M201" s="22"/>
      <c r="N201" s="22"/>
      <c r="O201" s="22"/>
      <c r="P201" s="22"/>
      <c r="Q201" s="22"/>
      <c r="R201" s="22"/>
      <c r="S201" s="22"/>
      <c r="T201" s="22"/>
    </row>
    <row r="202" spans="1:20">
      <c r="A202" s="144"/>
      <c r="B202" s="22"/>
      <c r="C202" s="22"/>
      <c r="D202" s="22"/>
      <c r="E202" s="22"/>
      <c r="F202" s="28"/>
      <c r="G202" s="22"/>
      <c r="H202" s="22"/>
      <c r="I202" s="22"/>
      <c r="J202" s="22"/>
      <c r="K202" s="22"/>
      <c r="L202" s="22"/>
      <c r="M202" s="22"/>
      <c r="N202" s="22"/>
      <c r="O202" s="22"/>
      <c r="P202" s="22"/>
      <c r="Q202" s="22"/>
      <c r="R202" s="22"/>
      <c r="S202" s="22"/>
      <c r="T202" s="22"/>
    </row>
    <row r="203" spans="1:20">
      <c r="A203" s="144"/>
      <c r="B203" s="22"/>
      <c r="C203" s="22"/>
      <c r="D203" s="22"/>
      <c r="E203" s="22"/>
      <c r="F203" s="28"/>
      <c r="G203" s="22"/>
      <c r="H203" s="22"/>
      <c r="I203" s="22"/>
      <c r="J203" s="22"/>
      <c r="K203" s="22"/>
      <c r="L203" s="22"/>
      <c r="M203" s="22"/>
      <c r="N203" s="22"/>
      <c r="O203" s="22"/>
      <c r="P203" s="22"/>
      <c r="Q203" s="22"/>
      <c r="R203" s="22"/>
      <c r="S203" s="22"/>
      <c r="T203" s="22"/>
    </row>
    <row r="204" spans="1:20">
      <c r="A204" s="144"/>
      <c r="B204" s="22"/>
      <c r="C204" s="22"/>
      <c r="D204" s="22"/>
      <c r="E204" s="22"/>
      <c r="F204" s="28"/>
      <c r="G204" s="22"/>
      <c r="H204" s="22"/>
      <c r="I204" s="22"/>
      <c r="J204" s="22"/>
      <c r="K204" s="22"/>
      <c r="L204" s="22"/>
      <c r="M204" s="22"/>
      <c r="N204" s="22"/>
      <c r="O204" s="22"/>
      <c r="P204" s="22"/>
      <c r="Q204" s="22"/>
      <c r="R204" s="22"/>
      <c r="S204" s="22"/>
      <c r="T204" s="22"/>
    </row>
    <row r="205" spans="1:20">
      <c r="A205" s="144"/>
      <c r="B205" s="22"/>
      <c r="C205" s="22"/>
      <c r="D205" s="22"/>
      <c r="E205" s="22"/>
      <c r="F205" s="28"/>
      <c r="G205" s="22"/>
      <c r="H205" s="22"/>
      <c r="I205" s="22"/>
      <c r="J205" s="22"/>
      <c r="K205" s="22"/>
      <c r="L205" s="22"/>
      <c r="M205" s="22"/>
      <c r="N205" s="22"/>
      <c r="O205" s="22"/>
      <c r="P205" s="22"/>
      <c r="Q205" s="22"/>
      <c r="R205" s="22"/>
      <c r="S205" s="22"/>
      <c r="T205" s="22"/>
    </row>
    <row r="206" spans="1:20">
      <c r="A206" s="144"/>
      <c r="B206" s="22"/>
      <c r="C206" s="22"/>
      <c r="D206" s="22"/>
      <c r="E206" s="22"/>
      <c r="F206" s="28"/>
      <c r="G206" s="22"/>
      <c r="H206" s="22"/>
      <c r="I206" s="22"/>
      <c r="J206" s="22"/>
      <c r="K206" s="22"/>
      <c r="L206" s="22"/>
      <c r="M206" s="22"/>
      <c r="N206" s="22"/>
      <c r="O206" s="22"/>
      <c r="P206" s="22"/>
      <c r="Q206" s="22"/>
      <c r="R206" s="22"/>
      <c r="S206" s="22"/>
      <c r="T206" s="22"/>
    </row>
    <row r="207" spans="1:20">
      <c r="A207" s="144"/>
      <c r="B207" s="22"/>
      <c r="C207" s="22"/>
      <c r="D207" s="22"/>
      <c r="E207" s="22"/>
      <c r="F207" s="28"/>
      <c r="G207" s="22"/>
      <c r="H207" s="22"/>
      <c r="I207" s="22"/>
      <c r="J207" s="22"/>
      <c r="K207" s="22"/>
      <c r="L207" s="22"/>
      <c r="M207" s="22"/>
      <c r="N207" s="22"/>
      <c r="O207" s="22"/>
      <c r="P207" s="22"/>
      <c r="Q207" s="22"/>
      <c r="R207" s="22"/>
      <c r="S207" s="22"/>
      <c r="T207" s="22"/>
    </row>
    <row r="208" spans="1:20">
      <c r="A208" s="144"/>
      <c r="B208" s="22"/>
      <c r="C208" s="22"/>
      <c r="D208" s="22"/>
      <c r="E208" s="22"/>
      <c r="F208" s="28"/>
      <c r="G208" s="22"/>
      <c r="H208" s="22"/>
      <c r="I208" s="22"/>
      <c r="J208" s="22"/>
      <c r="K208" s="22"/>
      <c r="L208" s="22"/>
      <c r="M208" s="22"/>
      <c r="N208" s="22"/>
      <c r="O208" s="22"/>
      <c r="P208" s="22"/>
      <c r="Q208" s="22"/>
      <c r="R208" s="22"/>
      <c r="S208" s="22"/>
      <c r="T208" s="22"/>
    </row>
    <row r="209" spans="1:20">
      <c r="A209" s="144"/>
      <c r="B209" s="22"/>
      <c r="C209" s="22"/>
      <c r="D209" s="22"/>
      <c r="E209" s="22"/>
      <c r="F209" s="28"/>
      <c r="G209" s="22"/>
      <c r="H209" s="22"/>
      <c r="I209" s="22"/>
      <c r="J209" s="22"/>
      <c r="K209" s="22"/>
      <c r="L209" s="22"/>
      <c r="M209" s="22"/>
      <c r="N209" s="22"/>
      <c r="O209" s="22"/>
      <c r="P209" s="22"/>
      <c r="Q209" s="22"/>
      <c r="R209" s="22"/>
      <c r="S209" s="22"/>
      <c r="T209" s="22"/>
    </row>
    <row r="210" spans="1:20">
      <c r="A210" s="144"/>
      <c r="B210" s="22"/>
      <c r="C210" s="22"/>
      <c r="D210" s="22"/>
      <c r="E210" s="22"/>
      <c r="F210" s="28"/>
      <c r="G210" s="22"/>
      <c r="H210" s="22"/>
      <c r="I210" s="22"/>
      <c r="J210" s="22"/>
      <c r="K210" s="22"/>
      <c r="L210" s="22"/>
      <c r="M210" s="22"/>
      <c r="N210" s="22"/>
      <c r="O210" s="22"/>
      <c r="P210" s="22"/>
      <c r="Q210" s="22"/>
      <c r="R210" s="22"/>
      <c r="S210" s="22"/>
      <c r="T210" s="22"/>
    </row>
    <row r="211" spans="1:20">
      <c r="A211" s="144"/>
      <c r="B211" s="22"/>
      <c r="C211" s="22"/>
      <c r="D211" s="22"/>
      <c r="E211" s="22"/>
      <c r="F211" s="28"/>
      <c r="G211" s="22"/>
      <c r="H211" s="22"/>
      <c r="I211" s="22"/>
      <c r="J211" s="22"/>
      <c r="K211" s="22"/>
      <c r="L211" s="22"/>
      <c r="M211" s="22"/>
      <c r="N211" s="22"/>
      <c r="O211" s="22"/>
      <c r="P211" s="22"/>
      <c r="Q211" s="22"/>
      <c r="R211" s="22"/>
      <c r="S211" s="22"/>
      <c r="T211" s="22"/>
    </row>
    <row r="212" spans="1:20">
      <c r="A212" s="144"/>
      <c r="B212" s="22"/>
      <c r="C212" s="22"/>
      <c r="D212" s="22"/>
      <c r="E212" s="22"/>
      <c r="F212" s="28"/>
      <c r="G212" s="22"/>
      <c r="H212" s="22"/>
      <c r="I212" s="22"/>
      <c r="J212" s="22"/>
      <c r="K212" s="22"/>
      <c r="L212" s="22"/>
      <c r="M212" s="22"/>
      <c r="N212" s="22"/>
      <c r="O212" s="22"/>
      <c r="P212" s="22"/>
      <c r="Q212" s="22"/>
      <c r="R212" s="22"/>
      <c r="S212" s="22"/>
      <c r="T212" s="22"/>
    </row>
    <row r="213" spans="1:20">
      <c r="A213" s="144"/>
      <c r="B213" s="22"/>
      <c r="C213" s="22"/>
      <c r="D213" s="22"/>
      <c r="E213" s="22"/>
      <c r="F213" s="28"/>
      <c r="G213" s="22"/>
      <c r="H213" s="22"/>
      <c r="I213" s="22"/>
      <c r="J213" s="22"/>
      <c r="K213" s="22"/>
      <c r="L213" s="22"/>
      <c r="M213" s="22"/>
      <c r="N213" s="22"/>
      <c r="O213" s="22"/>
      <c r="P213" s="22"/>
      <c r="Q213" s="22"/>
      <c r="R213" s="22"/>
      <c r="S213" s="22"/>
      <c r="T213" s="22"/>
    </row>
    <row r="214" spans="1:20">
      <c r="A214" s="144"/>
      <c r="B214" s="22"/>
      <c r="C214" s="22"/>
      <c r="D214" s="22"/>
      <c r="E214" s="22"/>
      <c r="F214" s="28"/>
      <c r="G214" s="22"/>
      <c r="H214" s="22"/>
      <c r="I214" s="22"/>
      <c r="J214" s="22"/>
      <c r="K214" s="22"/>
      <c r="L214" s="22"/>
      <c r="M214" s="22"/>
      <c r="N214" s="22"/>
      <c r="O214" s="22"/>
      <c r="P214" s="22"/>
      <c r="Q214" s="22"/>
      <c r="R214" s="22"/>
      <c r="S214" s="22"/>
      <c r="T214" s="22"/>
    </row>
    <row r="215" spans="1:20">
      <c r="A215" s="144"/>
      <c r="B215" s="22"/>
      <c r="C215" s="22"/>
      <c r="D215" s="22"/>
      <c r="E215" s="22"/>
      <c r="F215" s="28"/>
      <c r="G215" s="22"/>
      <c r="H215" s="22"/>
      <c r="I215" s="22"/>
      <c r="J215" s="22"/>
      <c r="K215" s="22"/>
      <c r="L215" s="22"/>
      <c r="M215" s="22"/>
      <c r="N215" s="22"/>
      <c r="O215" s="22"/>
      <c r="P215" s="22"/>
      <c r="Q215" s="22"/>
      <c r="R215" s="22"/>
      <c r="S215" s="22"/>
      <c r="T215" s="22"/>
    </row>
    <row r="216" spans="1:20">
      <c r="A216" s="144"/>
      <c r="B216" s="22"/>
      <c r="C216" s="22"/>
      <c r="D216" s="22"/>
      <c r="E216" s="22"/>
      <c r="F216" s="28"/>
      <c r="G216" s="22"/>
      <c r="H216" s="22"/>
      <c r="I216" s="22"/>
      <c r="J216" s="22"/>
      <c r="K216" s="22"/>
      <c r="L216" s="22"/>
      <c r="M216" s="22"/>
      <c r="N216" s="22"/>
      <c r="O216" s="22"/>
      <c r="P216" s="22"/>
      <c r="Q216" s="22"/>
      <c r="R216" s="22"/>
      <c r="S216" s="22"/>
      <c r="T216" s="22"/>
    </row>
    <row r="217" spans="1:20">
      <c r="A217" s="144"/>
      <c r="B217" s="22"/>
      <c r="C217" s="22"/>
      <c r="D217" s="22"/>
      <c r="E217" s="22"/>
      <c r="F217" s="28"/>
      <c r="G217" s="22"/>
      <c r="H217" s="22"/>
      <c r="I217" s="22"/>
      <c r="J217" s="22"/>
      <c r="K217" s="22"/>
      <c r="L217" s="22"/>
      <c r="M217" s="22"/>
      <c r="N217" s="22"/>
      <c r="O217" s="22"/>
      <c r="P217" s="22"/>
      <c r="Q217" s="22"/>
      <c r="R217" s="22"/>
      <c r="S217" s="22"/>
      <c r="T217" s="22"/>
    </row>
    <row r="218" spans="1:20">
      <c r="A218" s="144"/>
      <c r="B218" s="22"/>
      <c r="C218" s="22"/>
      <c r="D218" s="22"/>
      <c r="E218" s="22"/>
      <c r="F218" s="28"/>
      <c r="G218" s="22"/>
      <c r="H218" s="22"/>
      <c r="I218" s="22"/>
      <c r="J218" s="22"/>
      <c r="K218" s="22"/>
      <c r="L218" s="22"/>
      <c r="M218" s="22"/>
      <c r="N218" s="22"/>
      <c r="O218" s="22"/>
      <c r="P218" s="22"/>
      <c r="Q218" s="22"/>
      <c r="R218" s="22"/>
      <c r="S218" s="22"/>
      <c r="T218" s="22"/>
    </row>
    <row r="219" spans="1:20">
      <c r="A219" s="144"/>
      <c r="B219" s="22"/>
      <c r="C219" s="22"/>
      <c r="D219" s="22"/>
      <c r="E219" s="22"/>
      <c r="F219" s="28"/>
      <c r="G219" s="22"/>
      <c r="H219" s="22"/>
      <c r="I219" s="22"/>
      <c r="J219" s="22"/>
      <c r="K219" s="22"/>
      <c r="L219" s="22"/>
      <c r="M219" s="22"/>
      <c r="N219" s="22"/>
      <c r="O219" s="22"/>
      <c r="P219" s="22"/>
      <c r="Q219" s="22"/>
      <c r="R219" s="22"/>
      <c r="S219" s="22"/>
      <c r="T219" s="22"/>
    </row>
    <row r="220" spans="1:20">
      <c r="A220" s="144"/>
      <c r="B220" s="22"/>
      <c r="C220" s="22"/>
      <c r="D220" s="22"/>
      <c r="E220" s="22"/>
      <c r="F220" s="28"/>
      <c r="G220" s="22"/>
      <c r="H220" s="22"/>
      <c r="I220" s="22"/>
      <c r="J220" s="22"/>
      <c r="K220" s="22"/>
      <c r="L220" s="22"/>
      <c r="M220" s="22"/>
      <c r="N220" s="22"/>
      <c r="O220" s="22"/>
      <c r="P220" s="22"/>
      <c r="Q220" s="22"/>
      <c r="R220" s="22"/>
      <c r="S220" s="22"/>
      <c r="T220" s="22"/>
    </row>
    <row r="221" spans="1:20">
      <c r="A221" s="144"/>
      <c r="B221" s="22"/>
      <c r="C221" s="22"/>
      <c r="D221" s="22"/>
      <c r="E221" s="22"/>
      <c r="F221" s="28"/>
      <c r="G221" s="22"/>
      <c r="H221" s="22"/>
      <c r="I221" s="22"/>
      <c r="J221" s="22"/>
      <c r="K221" s="22"/>
      <c r="L221" s="22"/>
      <c r="M221" s="22"/>
      <c r="N221" s="22"/>
      <c r="O221" s="22"/>
      <c r="P221" s="22"/>
      <c r="Q221" s="22"/>
      <c r="R221" s="22"/>
      <c r="S221" s="22"/>
      <c r="T221" s="22"/>
    </row>
    <row r="222" spans="1:20">
      <c r="A222" s="144"/>
      <c r="B222" s="22"/>
      <c r="C222" s="22"/>
      <c r="D222" s="22"/>
      <c r="E222" s="22"/>
      <c r="F222" s="28"/>
      <c r="G222" s="22"/>
      <c r="H222" s="22"/>
      <c r="I222" s="22"/>
      <c r="J222" s="22"/>
      <c r="K222" s="22"/>
      <c r="L222" s="22"/>
      <c r="M222" s="22"/>
      <c r="N222" s="22"/>
      <c r="O222" s="22"/>
      <c r="P222" s="22"/>
      <c r="Q222" s="22"/>
      <c r="R222" s="22"/>
      <c r="S222" s="22"/>
      <c r="T222" s="22"/>
    </row>
    <row r="223" spans="1:20">
      <c r="A223" s="144"/>
      <c r="B223" s="22"/>
      <c r="C223" s="22"/>
      <c r="D223" s="22"/>
      <c r="E223" s="22"/>
      <c r="F223" s="28"/>
      <c r="G223" s="22"/>
      <c r="H223" s="22"/>
      <c r="I223" s="22"/>
      <c r="J223" s="22"/>
      <c r="K223" s="22"/>
      <c r="L223" s="22"/>
      <c r="M223" s="22"/>
      <c r="N223" s="22"/>
      <c r="O223" s="22"/>
      <c r="P223" s="22"/>
      <c r="Q223" s="22"/>
      <c r="R223" s="22"/>
      <c r="S223" s="22"/>
      <c r="T223" s="22"/>
    </row>
    <row r="224" spans="1:20">
      <c r="A224" s="144"/>
      <c r="B224" s="22"/>
      <c r="C224" s="22"/>
      <c r="D224" s="22"/>
      <c r="E224" s="22"/>
      <c r="F224" s="28"/>
      <c r="G224" s="22"/>
      <c r="H224" s="22"/>
      <c r="I224" s="22"/>
      <c r="J224" s="22"/>
      <c r="K224" s="22"/>
      <c r="L224" s="22"/>
      <c r="M224" s="22"/>
      <c r="N224" s="22"/>
      <c r="O224" s="22"/>
      <c r="P224" s="22"/>
      <c r="Q224" s="22"/>
      <c r="R224" s="22"/>
      <c r="S224" s="22"/>
      <c r="T224" s="22"/>
    </row>
    <row r="225" spans="1:20">
      <c r="A225" s="144"/>
      <c r="B225" s="22"/>
      <c r="C225" s="22"/>
      <c r="D225" s="22"/>
      <c r="E225" s="22"/>
      <c r="F225" s="28"/>
      <c r="G225" s="22"/>
      <c r="H225" s="22"/>
      <c r="I225" s="22"/>
      <c r="J225" s="22"/>
      <c r="K225" s="22"/>
      <c r="L225" s="22"/>
      <c r="M225" s="22"/>
      <c r="N225" s="22"/>
      <c r="O225" s="22"/>
      <c r="P225" s="22"/>
      <c r="Q225" s="22"/>
      <c r="R225" s="22"/>
      <c r="S225" s="22"/>
      <c r="T225" s="22"/>
    </row>
    <row r="226" spans="1:20">
      <c r="A226" s="144"/>
      <c r="B226" s="22"/>
      <c r="C226" s="22"/>
      <c r="D226" s="22"/>
      <c r="E226" s="22"/>
      <c r="F226" s="28"/>
      <c r="G226" s="22"/>
      <c r="H226" s="22"/>
      <c r="I226" s="22"/>
      <c r="J226" s="22"/>
      <c r="K226" s="22"/>
      <c r="L226" s="22"/>
      <c r="M226" s="22"/>
      <c r="N226" s="22"/>
      <c r="O226" s="22"/>
      <c r="P226" s="22"/>
      <c r="Q226" s="22"/>
      <c r="R226" s="22"/>
      <c r="S226" s="22"/>
      <c r="T226" s="22"/>
    </row>
    <row r="227" spans="1:20">
      <c r="A227" s="144"/>
      <c r="B227" s="22"/>
      <c r="C227" s="22"/>
      <c r="D227" s="22"/>
      <c r="E227" s="22"/>
      <c r="F227" s="28"/>
      <c r="G227" s="22"/>
      <c r="H227" s="22"/>
      <c r="I227" s="22"/>
      <c r="J227" s="22"/>
      <c r="K227" s="22"/>
      <c r="L227" s="22"/>
      <c r="M227" s="22"/>
      <c r="N227" s="22"/>
      <c r="O227" s="22"/>
      <c r="P227" s="22"/>
      <c r="Q227" s="22"/>
      <c r="R227" s="22"/>
      <c r="S227" s="22"/>
      <c r="T227" s="22"/>
    </row>
    <row r="228" spans="1:20">
      <c r="A228" s="144"/>
      <c r="B228" s="22"/>
      <c r="C228" s="22"/>
      <c r="D228" s="22"/>
      <c r="E228" s="22"/>
      <c r="F228" s="28"/>
      <c r="G228" s="22"/>
      <c r="H228" s="22"/>
      <c r="I228" s="22"/>
      <c r="J228" s="22"/>
      <c r="K228" s="22"/>
      <c r="L228" s="22"/>
      <c r="M228" s="22"/>
      <c r="N228" s="22"/>
      <c r="O228" s="22"/>
      <c r="P228" s="22"/>
      <c r="Q228" s="22"/>
      <c r="R228" s="22"/>
      <c r="S228" s="22"/>
      <c r="T228" s="22"/>
    </row>
    <row r="229" spans="1:20">
      <c r="A229" s="144"/>
      <c r="B229" s="22"/>
      <c r="C229" s="22"/>
      <c r="D229" s="22"/>
      <c r="E229" s="22"/>
      <c r="F229" s="28"/>
      <c r="G229" s="22"/>
      <c r="H229" s="22"/>
      <c r="I229" s="22"/>
      <c r="J229" s="22"/>
      <c r="K229" s="22"/>
      <c r="L229" s="22"/>
      <c r="M229" s="22"/>
      <c r="N229" s="22"/>
      <c r="O229" s="22"/>
      <c r="P229" s="22"/>
      <c r="Q229" s="22"/>
      <c r="R229" s="22"/>
      <c r="S229" s="22"/>
      <c r="T229" s="22"/>
    </row>
    <row r="230" spans="1:20">
      <c r="A230" s="144"/>
      <c r="B230" s="22"/>
      <c r="C230" s="22"/>
      <c r="D230" s="22"/>
      <c r="E230" s="22"/>
      <c r="F230" s="28"/>
      <c r="G230" s="22"/>
      <c r="H230" s="22"/>
      <c r="I230" s="22"/>
      <c r="J230" s="22"/>
      <c r="K230" s="22"/>
      <c r="L230" s="22"/>
      <c r="M230" s="22"/>
      <c r="N230" s="22"/>
      <c r="O230" s="22"/>
      <c r="P230" s="22"/>
      <c r="Q230" s="22"/>
      <c r="R230" s="22"/>
      <c r="S230" s="22"/>
      <c r="T230" s="22"/>
    </row>
    <row r="231" spans="1:20">
      <c r="A231" s="144"/>
      <c r="B231" s="22"/>
      <c r="C231" s="22"/>
      <c r="D231" s="22"/>
      <c r="E231" s="22"/>
      <c r="F231" s="28"/>
      <c r="G231" s="22"/>
      <c r="H231" s="22"/>
      <c r="I231" s="22"/>
      <c r="J231" s="22"/>
      <c r="K231" s="22"/>
      <c r="L231" s="22"/>
      <c r="M231" s="22"/>
      <c r="N231" s="22"/>
      <c r="O231" s="22"/>
      <c r="P231" s="22"/>
      <c r="Q231" s="22"/>
      <c r="R231" s="22"/>
      <c r="S231" s="22"/>
      <c r="T231" s="22"/>
    </row>
    <row r="232" spans="1:20">
      <c r="A232" s="144"/>
      <c r="B232" s="22"/>
      <c r="C232" s="22"/>
      <c r="D232" s="22"/>
      <c r="E232" s="22"/>
      <c r="F232" s="28"/>
      <c r="G232" s="22"/>
      <c r="H232" s="22"/>
      <c r="I232" s="22"/>
      <c r="J232" s="22"/>
      <c r="K232" s="22"/>
      <c r="L232" s="22"/>
      <c r="M232" s="22"/>
      <c r="N232" s="22"/>
      <c r="O232" s="22"/>
      <c r="P232" s="22"/>
      <c r="Q232" s="22"/>
      <c r="R232" s="22"/>
      <c r="S232" s="22"/>
      <c r="T232" s="22"/>
    </row>
    <row r="233" spans="1:20">
      <c r="A233" s="144"/>
      <c r="B233" s="22"/>
      <c r="C233" s="22"/>
      <c r="D233" s="22"/>
      <c r="E233" s="22"/>
      <c r="F233" s="28"/>
      <c r="G233" s="22"/>
      <c r="H233" s="22"/>
      <c r="I233" s="22"/>
      <c r="J233" s="22"/>
      <c r="K233" s="22"/>
      <c r="L233" s="22"/>
      <c r="M233" s="22"/>
      <c r="N233" s="22"/>
      <c r="O233" s="22"/>
      <c r="P233" s="22"/>
      <c r="Q233" s="22"/>
      <c r="R233" s="22"/>
      <c r="S233" s="22"/>
      <c r="T233" s="22"/>
    </row>
    <row r="234" spans="1:20">
      <c r="A234" s="144"/>
      <c r="B234" s="22"/>
      <c r="C234" s="22"/>
      <c r="D234" s="22"/>
      <c r="E234" s="22"/>
      <c r="F234" s="28"/>
      <c r="G234" s="22"/>
      <c r="H234" s="22"/>
      <c r="I234" s="22"/>
      <c r="J234" s="22"/>
      <c r="K234" s="22"/>
      <c r="L234" s="22"/>
      <c r="M234" s="22"/>
      <c r="N234" s="22"/>
      <c r="O234" s="22"/>
      <c r="P234" s="22"/>
      <c r="Q234" s="22"/>
      <c r="R234" s="22"/>
      <c r="S234" s="22"/>
      <c r="T234" s="22"/>
    </row>
    <row r="235" spans="1:20">
      <c r="A235" s="144"/>
      <c r="B235" s="22"/>
      <c r="C235" s="22"/>
      <c r="D235" s="22"/>
      <c r="E235" s="22"/>
      <c r="F235" s="28"/>
      <c r="G235" s="22"/>
      <c r="H235" s="22"/>
      <c r="I235" s="22"/>
      <c r="J235" s="22"/>
      <c r="K235" s="22"/>
      <c r="L235" s="22"/>
      <c r="M235" s="22"/>
      <c r="N235" s="22"/>
      <c r="O235" s="22"/>
      <c r="P235" s="22"/>
      <c r="Q235" s="22"/>
      <c r="R235" s="22"/>
      <c r="S235" s="22"/>
      <c r="T235" s="22"/>
    </row>
    <row r="236" spans="1:20">
      <c r="A236" s="144"/>
      <c r="B236" s="22"/>
      <c r="C236" s="22"/>
      <c r="D236" s="22"/>
      <c r="E236" s="22"/>
      <c r="F236" s="28"/>
      <c r="G236" s="22"/>
      <c r="H236" s="22"/>
      <c r="I236" s="22"/>
      <c r="J236" s="22"/>
      <c r="K236" s="22"/>
      <c r="L236" s="22"/>
      <c r="M236" s="22"/>
      <c r="N236" s="22"/>
      <c r="O236" s="22"/>
      <c r="P236" s="22"/>
      <c r="Q236" s="22"/>
      <c r="R236" s="22"/>
      <c r="S236" s="22"/>
      <c r="T236" s="22"/>
    </row>
    <row r="237" spans="1:20">
      <c r="A237" s="144"/>
      <c r="B237" s="22"/>
      <c r="C237" s="22"/>
      <c r="D237" s="22"/>
      <c r="E237" s="22"/>
      <c r="F237" s="28"/>
      <c r="G237" s="22"/>
      <c r="H237" s="22"/>
      <c r="I237" s="22"/>
      <c r="J237" s="22"/>
      <c r="K237" s="22"/>
      <c r="L237" s="22"/>
      <c r="M237" s="22"/>
      <c r="N237" s="22"/>
      <c r="O237" s="22"/>
      <c r="P237" s="22"/>
      <c r="Q237" s="22"/>
      <c r="R237" s="22"/>
      <c r="S237" s="22"/>
      <c r="T237" s="22"/>
    </row>
    <row r="238" spans="1:20">
      <c r="A238" s="144"/>
      <c r="B238" s="22"/>
      <c r="C238" s="22"/>
      <c r="D238" s="22"/>
      <c r="E238" s="22"/>
      <c r="F238" s="28"/>
      <c r="G238" s="22"/>
      <c r="H238" s="22"/>
      <c r="I238" s="22"/>
      <c r="J238" s="22"/>
      <c r="K238" s="22"/>
      <c r="L238" s="22"/>
      <c r="M238" s="22"/>
      <c r="N238" s="22"/>
      <c r="O238" s="22"/>
      <c r="P238" s="22"/>
      <c r="Q238" s="22"/>
      <c r="R238" s="22"/>
      <c r="S238" s="22"/>
      <c r="T238" s="22"/>
    </row>
    <row r="239" spans="1:20">
      <c r="A239" s="144"/>
      <c r="B239" s="22"/>
      <c r="C239" s="22"/>
      <c r="D239" s="22"/>
      <c r="E239" s="22"/>
      <c r="F239" s="28"/>
      <c r="G239" s="22"/>
      <c r="H239" s="22"/>
      <c r="I239" s="22"/>
      <c r="J239" s="22"/>
      <c r="K239" s="22"/>
      <c r="L239" s="22"/>
      <c r="M239" s="22"/>
      <c r="N239" s="22"/>
      <c r="O239" s="22"/>
      <c r="P239" s="22"/>
      <c r="Q239" s="22"/>
      <c r="R239" s="22"/>
      <c r="S239" s="22"/>
      <c r="T239" s="22"/>
    </row>
    <row r="240" spans="1:20">
      <c r="A240" s="144"/>
      <c r="B240" s="22"/>
      <c r="C240" s="22"/>
      <c r="D240" s="22"/>
      <c r="E240" s="22"/>
      <c r="F240" s="28"/>
      <c r="G240" s="22"/>
      <c r="H240" s="22"/>
      <c r="I240" s="22"/>
      <c r="J240" s="22"/>
      <c r="K240" s="22"/>
      <c r="L240" s="22"/>
      <c r="M240" s="22"/>
      <c r="N240" s="22"/>
      <c r="O240" s="22"/>
      <c r="P240" s="22"/>
      <c r="Q240" s="22"/>
      <c r="R240" s="22"/>
      <c r="S240" s="22"/>
      <c r="T240" s="22"/>
    </row>
    <row r="241" spans="1:20">
      <c r="A241" s="144"/>
      <c r="B241" s="22"/>
      <c r="C241" s="22"/>
      <c r="D241" s="22"/>
      <c r="E241" s="22"/>
      <c r="F241" s="28"/>
      <c r="G241" s="22"/>
      <c r="H241" s="22"/>
      <c r="I241" s="22"/>
      <c r="J241" s="22"/>
      <c r="K241" s="22"/>
      <c r="L241" s="22"/>
      <c r="M241" s="22"/>
      <c r="N241" s="22"/>
      <c r="O241" s="22"/>
      <c r="P241" s="22"/>
      <c r="Q241" s="22"/>
      <c r="R241" s="22"/>
      <c r="S241" s="22"/>
      <c r="T241" s="22"/>
    </row>
    <row r="242" spans="1:20">
      <c r="A242" s="144"/>
      <c r="B242" s="22"/>
      <c r="C242" s="22"/>
      <c r="D242" s="22"/>
      <c r="E242" s="22"/>
      <c r="F242" s="28"/>
      <c r="G242" s="22"/>
      <c r="H242" s="22"/>
      <c r="I242" s="22"/>
      <c r="J242" s="22"/>
      <c r="K242" s="22"/>
      <c r="L242" s="22"/>
      <c r="M242" s="22"/>
      <c r="N242" s="22"/>
      <c r="O242" s="22"/>
      <c r="P242" s="22"/>
      <c r="Q242" s="22"/>
      <c r="R242" s="22"/>
      <c r="S242" s="22"/>
      <c r="T242" s="22"/>
    </row>
    <row r="243" spans="1:20">
      <c r="A243" s="144"/>
      <c r="B243" s="22"/>
      <c r="C243" s="22"/>
      <c r="D243" s="22"/>
      <c r="E243" s="22"/>
      <c r="F243" s="28"/>
      <c r="G243" s="22"/>
      <c r="H243" s="22"/>
      <c r="I243" s="22"/>
      <c r="J243" s="22"/>
      <c r="K243" s="22"/>
      <c r="L243" s="22"/>
      <c r="M243" s="22"/>
      <c r="N243" s="22"/>
      <c r="O243" s="22"/>
      <c r="P243" s="22"/>
      <c r="Q243" s="22"/>
      <c r="R243" s="22"/>
      <c r="S243" s="22"/>
      <c r="T243" s="22"/>
    </row>
    <row r="244" spans="1:20">
      <c r="A244" s="144"/>
      <c r="B244" s="22"/>
      <c r="C244" s="22"/>
      <c r="D244" s="22"/>
      <c r="E244" s="22"/>
      <c r="F244" s="28"/>
      <c r="G244" s="22"/>
      <c r="H244" s="22"/>
      <c r="I244" s="22"/>
      <c r="J244" s="22"/>
      <c r="K244" s="22"/>
      <c r="L244" s="22"/>
      <c r="M244" s="22"/>
      <c r="N244" s="22"/>
      <c r="O244" s="22"/>
      <c r="P244" s="22"/>
      <c r="Q244" s="22"/>
      <c r="R244" s="22"/>
      <c r="S244" s="22"/>
      <c r="T244" s="22"/>
    </row>
    <row r="245" spans="1:20">
      <c r="A245" s="144"/>
      <c r="B245" s="22"/>
      <c r="C245" s="22"/>
      <c r="D245" s="22"/>
      <c r="E245" s="22"/>
      <c r="F245" s="28"/>
      <c r="G245" s="22"/>
      <c r="H245" s="22"/>
      <c r="I245" s="22"/>
      <c r="J245" s="22"/>
      <c r="K245" s="22"/>
      <c r="L245" s="22"/>
      <c r="M245" s="22"/>
      <c r="N245" s="22"/>
      <c r="O245" s="22"/>
      <c r="P245" s="22"/>
      <c r="Q245" s="22"/>
      <c r="R245" s="22"/>
      <c r="S245" s="22"/>
      <c r="T245" s="22"/>
    </row>
    <row r="246" spans="1:20">
      <c r="A246" s="144"/>
      <c r="B246" s="22"/>
      <c r="C246" s="22"/>
      <c r="D246" s="22"/>
      <c r="E246" s="22"/>
      <c r="F246" s="28"/>
      <c r="G246" s="22"/>
      <c r="H246" s="22"/>
      <c r="I246" s="22"/>
      <c r="J246" s="22"/>
      <c r="K246" s="22"/>
      <c r="L246" s="22"/>
      <c r="M246" s="22"/>
      <c r="N246" s="22"/>
      <c r="O246" s="22"/>
      <c r="P246" s="22"/>
      <c r="Q246" s="22"/>
      <c r="R246" s="22"/>
      <c r="S246" s="22"/>
      <c r="T246" s="22"/>
    </row>
    <row r="247" spans="1:20">
      <c r="A247" s="144"/>
      <c r="B247" s="22"/>
      <c r="C247" s="22"/>
      <c r="D247" s="22"/>
      <c r="E247" s="22"/>
      <c r="F247" s="28"/>
      <c r="G247" s="22"/>
      <c r="H247" s="22"/>
      <c r="I247" s="22"/>
      <c r="J247" s="22"/>
      <c r="K247" s="22"/>
      <c r="L247" s="22"/>
      <c r="M247" s="22"/>
      <c r="N247" s="22"/>
      <c r="O247" s="22"/>
      <c r="P247" s="22"/>
      <c r="Q247" s="22"/>
      <c r="R247" s="22"/>
      <c r="S247" s="22"/>
      <c r="T247" s="22"/>
    </row>
    <row r="248" spans="1:20">
      <c r="A248" s="144"/>
      <c r="B248" s="22"/>
      <c r="C248" s="22"/>
      <c r="D248" s="22"/>
      <c r="E248" s="22"/>
      <c r="F248" s="28"/>
      <c r="G248" s="22"/>
      <c r="H248" s="22"/>
      <c r="I248" s="22"/>
      <c r="J248" s="22"/>
      <c r="K248" s="22"/>
      <c r="L248" s="22"/>
      <c r="M248" s="22"/>
      <c r="N248" s="22"/>
      <c r="O248" s="22"/>
      <c r="P248" s="22"/>
      <c r="Q248" s="22"/>
      <c r="R248" s="22"/>
      <c r="S248" s="22"/>
      <c r="T248" s="22"/>
    </row>
    <row r="249" spans="1:20">
      <c r="A249" s="144"/>
      <c r="B249" s="22"/>
      <c r="C249" s="22"/>
      <c r="D249" s="22"/>
      <c r="E249" s="22"/>
      <c r="F249" s="28"/>
      <c r="G249" s="22"/>
      <c r="H249" s="22"/>
      <c r="I249" s="22"/>
      <c r="J249" s="22"/>
      <c r="K249" s="22"/>
      <c r="L249" s="22"/>
      <c r="M249" s="22"/>
      <c r="N249" s="22"/>
      <c r="O249" s="22"/>
      <c r="P249" s="22"/>
      <c r="Q249" s="22"/>
      <c r="R249" s="22"/>
      <c r="S249" s="22"/>
      <c r="T249" s="22"/>
    </row>
    <row r="250" spans="1:20">
      <c r="A250" s="144"/>
      <c r="B250" s="22"/>
      <c r="C250" s="22"/>
      <c r="D250" s="22"/>
      <c r="E250" s="22"/>
      <c r="F250" s="28"/>
      <c r="G250" s="22"/>
      <c r="H250" s="22"/>
      <c r="I250" s="22"/>
      <c r="J250" s="22"/>
      <c r="K250" s="22"/>
      <c r="L250" s="22"/>
      <c r="M250" s="22"/>
      <c r="N250" s="22"/>
      <c r="O250" s="22"/>
      <c r="P250" s="22"/>
      <c r="Q250" s="22"/>
      <c r="R250" s="22"/>
      <c r="S250" s="22"/>
      <c r="T250" s="22"/>
    </row>
    <row r="251" spans="1:20">
      <c r="A251" s="144"/>
      <c r="B251" s="22"/>
      <c r="C251" s="22"/>
      <c r="D251" s="22"/>
      <c r="E251" s="22"/>
      <c r="F251" s="28"/>
      <c r="G251" s="22"/>
      <c r="H251" s="22"/>
      <c r="I251" s="22"/>
      <c r="J251" s="22"/>
      <c r="K251" s="22"/>
      <c r="L251" s="22"/>
      <c r="M251" s="22"/>
      <c r="N251" s="22"/>
      <c r="O251" s="22"/>
      <c r="P251" s="22"/>
      <c r="Q251" s="22"/>
      <c r="R251" s="22"/>
      <c r="S251" s="22"/>
      <c r="T251" s="22"/>
    </row>
    <row r="252" spans="1:20">
      <c r="A252" s="144"/>
      <c r="B252" s="22"/>
      <c r="C252" s="22"/>
      <c r="D252" s="22"/>
      <c r="E252" s="22"/>
      <c r="F252" s="28"/>
      <c r="G252" s="22"/>
      <c r="H252" s="22"/>
      <c r="I252" s="22"/>
      <c r="J252" s="22"/>
      <c r="K252" s="22"/>
      <c r="L252" s="22"/>
      <c r="M252" s="22"/>
      <c r="N252" s="22"/>
      <c r="O252" s="22"/>
      <c r="P252" s="22"/>
      <c r="Q252" s="22"/>
      <c r="R252" s="22"/>
      <c r="S252" s="22"/>
      <c r="T252" s="22"/>
    </row>
    <row r="253" spans="1:20">
      <c r="A253" s="144"/>
      <c r="B253" s="22"/>
      <c r="C253" s="22"/>
      <c r="D253" s="22"/>
      <c r="E253" s="22"/>
      <c r="F253" s="28"/>
      <c r="G253" s="22"/>
      <c r="H253" s="22"/>
      <c r="I253" s="22"/>
      <c r="J253" s="22"/>
      <c r="K253" s="22"/>
      <c r="L253" s="22"/>
      <c r="M253" s="22"/>
      <c r="N253" s="22"/>
      <c r="O253" s="22"/>
      <c r="P253" s="22"/>
      <c r="Q253" s="22"/>
      <c r="R253" s="22"/>
      <c r="S253" s="22"/>
      <c r="T253" s="22"/>
    </row>
    <row r="254" spans="1:20">
      <c r="A254" s="144"/>
      <c r="B254" s="22"/>
      <c r="C254" s="22"/>
      <c r="D254" s="22"/>
      <c r="E254" s="22"/>
      <c r="F254" s="28"/>
      <c r="G254" s="22"/>
      <c r="H254" s="22"/>
      <c r="I254" s="22"/>
      <c r="J254" s="22"/>
      <c r="K254" s="22"/>
      <c r="L254" s="22"/>
      <c r="M254" s="22"/>
      <c r="N254" s="22"/>
      <c r="O254" s="22"/>
      <c r="P254" s="22"/>
      <c r="Q254" s="22"/>
      <c r="R254" s="22"/>
      <c r="S254" s="22"/>
      <c r="T254" s="22"/>
    </row>
    <row r="255" spans="1:20">
      <c r="A255" s="144"/>
      <c r="B255" s="22"/>
      <c r="C255" s="22"/>
      <c r="D255" s="22"/>
      <c r="E255" s="22"/>
      <c r="F255" s="28"/>
      <c r="G255" s="22"/>
      <c r="H255" s="22"/>
      <c r="I255" s="22"/>
      <c r="J255" s="22"/>
      <c r="K255" s="22"/>
      <c r="L255" s="22"/>
      <c r="M255" s="22"/>
      <c r="N255" s="22"/>
      <c r="O255" s="22"/>
      <c r="P255" s="22"/>
      <c r="Q255" s="22"/>
      <c r="R255" s="22"/>
      <c r="S255" s="22"/>
      <c r="T255" s="22"/>
    </row>
    <row r="256" spans="1:20">
      <c r="A256" s="144"/>
      <c r="B256" s="22"/>
      <c r="C256" s="22"/>
      <c r="D256" s="22"/>
      <c r="E256" s="22"/>
      <c r="F256" s="28"/>
      <c r="G256" s="22"/>
      <c r="H256" s="22"/>
      <c r="I256" s="22"/>
      <c r="J256" s="22"/>
      <c r="K256" s="22"/>
      <c r="L256" s="22"/>
      <c r="M256" s="22"/>
      <c r="N256" s="22"/>
      <c r="O256" s="22"/>
      <c r="P256" s="22"/>
      <c r="Q256" s="22"/>
      <c r="R256" s="22"/>
      <c r="S256" s="22"/>
      <c r="T256" s="22"/>
    </row>
    <row r="257" spans="1:20">
      <c r="A257" s="144"/>
      <c r="B257" s="22"/>
      <c r="C257" s="22"/>
      <c r="D257" s="22"/>
      <c r="E257" s="22"/>
      <c r="F257" s="28"/>
      <c r="G257" s="22"/>
      <c r="H257" s="22"/>
      <c r="I257" s="22"/>
      <c r="J257" s="22"/>
      <c r="K257" s="22"/>
      <c r="L257" s="22"/>
      <c r="M257" s="22"/>
      <c r="N257" s="22"/>
      <c r="O257" s="22"/>
      <c r="P257" s="22"/>
      <c r="Q257" s="22"/>
      <c r="R257" s="22"/>
      <c r="S257" s="22"/>
      <c r="T257" s="22"/>
    </row>
    <row r="258" spans="1:20">
      <c r="A258" s="144"/>
      <c r="B258" s="22"/>
      <c r="C258" s="22"/>
      <c r="D258" s="22"/>
      <c r="E258" s="22"/>
      <c r="F258" s="28"/>
      <c r="G258" s="22"/>
      <c r="H258" s="22"/>
      <c r="I258" s="22"/>
      <c r="J258" s="22"/>
      <c r="K258" s="22"/>
      <c r="L258" s="22"/>
      <c r="M258" s="22"/>
      <c r="N258" s="22"/>
      <c r="O258" s="22"/>
      <c r="P258" s="22"/>
      <c r="Q258" s="22"/>
      <c r="R258" s="22"/>
      <c r="S258" s="22"/>
      <c r="T258" s="22"/>
    </row>
    <row r="259" spans="1:20">
      <c r="A259" s="144"/>
      <c r="B259" s="22"/>
      <c r="C259" s="22"/>
      <c r="D259" s="22"/>
      <c r="E259" s="22"/>
      <c r="F259" s="28"/>
      <c r="G259" s="22"/>
      <c r="H259" s="22"/>
      <c r="I259" s="22"/>
      <c r="J259" s="22"/>
      <c r="K259" s="22"/>
      <c r="L259" s="22"/>
      <c r="M259" s="22"/>
      <c r="N259" s="22"/>
      <c r="O259" s="22"/>
      <c r="P259" s="22"/>
      <c r="Q259" s="22"/>
      <c r="R259" s="22"/>
      <c r="S259" s="22"/>
      <c r="T259" s="22"/>
    </row>
    <row r="260" spans="1:20">
      <c r="A260" s="144"/>
      <c r="B260" s="22"/>
      <c r="C260" s="22"/>
      <c r="D260" s="22"/>
      <c r="E260" s="22"/>
      <c r="F260" s="28"/>
      <c r="G260" s="22"/>
      <c r="H260" s="22"/>
      <c r="I260" s="22"/>
      <c r="J260" s="22"/>
      <c r="K260" s="22"/>
      <c r="L260" s="22"/>
      <c r="M260" s="22"/>
      <c r="N260" s="22"/>
      <c r="O260" s="22"/>
      <c r="P260" s="22"/>
      <c r="Q260" s="22"/>
      <c r="R260" s="22"/>
      <c r="S260" s="22"/>
      <c r="T260" s="22"/>
    </row>
    <row r="261" spans="1:20">
      <c r="A261" s="144"/>
      <c r="B261" s="22"/>
      <c r="C261" s="22"/>
      <c r="D261" s="22"/>
      <c r="E261" s="22"/>
      <c r="F261" s="28"/>
      <c r="G261" s="22"/>
      <c r="H261" s="22"/>
      <c r="I261" s="22"/>
      <c r="J261" s="22"/>
      <c r="K261" s="22"/>
      <c r="L261" s="22"/>
      <c r="M261" s="22"/>
      <c r="N261" s="22"/>
      <c r="O261" s="22"/>
      <c r="P261" s="22"/>
      <c r="Q261" s="22"/>
      <c r="R261" s="22"/>
      <c r="S261" s="22"/>
      <c r="T261" s="22"/>
    </row>
    <row r="262" spans="1:20">
      <c r="A262" s="144"/>
      <c r="B262" s="22"/>
      <c r="C262" s="22"/>
      <c r="D262" s="22"/>
      <c r="E262" s="22"/>
      <c r="F262" s="28"/>
      <c r="G262" s="22"/>
      <c r="H262" s="22"/>
      <c r="I262" s="22"/>
      <c r="J262" s="22"/>
      <c r="K262" s="22"/>
      <c r="L262" s="22"/>
      <c r="M262" s="22"/>
      <c r="N262" s="22"/>
      <c r="O262" s="22"/>
      <c r="P262" s="22"/>
      <c r="Q262" s="22"/>
      <c r="R262" s="22"/>
      <c r="S262" s="22"/>
      <c r="T262" s="22"/>
    </row>
    <row r="263" spans="1:20">
      <c r="A263" s="144"/>
      <c r="B263" s="22"/>
      <c r="C263" s="22"/>
      <c r="D263" s="22"/>
      <c r="E263" s="22"/>
      <c r="F263" s="28"/>
      <c r="G263" s="22"/>
      <c r="H263" s="22"/>
      <c r="I263" s="22"/>
      <c r="J263" s="22"/>
      <c r="K263" s="22"/>
      <c r="L263" s="22"/>
      <c r="M263" s="22"/>
      <c r="N263" s="22"/>
      <c r="O263" s="22"/>
      <c r="P263" s="22"/>
      <c r="Q263" s="22"/>
      <c r="R263" s="22"/>
      <c r="S263" s="22"/>
      <c r="T263" s="22"/>
    </row>
    <row r="264" spans="1:20">
      <c r="A264" s="144"/>
      <c r="B264" s="22"/>
      <c r="C264" s="22"/>
      <c r="D264" s="22"/>
      <c r="E264" s="22"/>
      <c r="F264" s="28"/>
      <c r="G264" s="22"/>
      <c r="H264" s="22"/>
      <c r="I264" s="22"/>
      <c r="J264" s="22"/>
      <c r="K264" s="22"/>
      <c r="L264" s="22"/>
      <c r="M264" s="22"/>
      <c r="N264" s="22"/>
      <c r="O264" s="22"/>
      <c r="P264" s="22"/>
      <c r="Q264" s="22"/>
      <c r="R264" s="22"/>
      <c r="S264" s="22"/>
      <c r="T264" s="22"/>
    </row>
    <row r="265" spans="1:20">
      <c r="A265" s="144"/>
      <c r="B265" s="22"/>
      <c r="C265" s="22"/>
      <c r="D265" s="22"/>
      <c r="E265" s="22"/>
      <c r="F265" s="28"/>
      <c r="G265" s="22"/>
      <c r="H265" s="22"/>
      <c r="I265" s="22"/>
      <c r="J265" s="22"/>
      <c r="K265" s="22"/>
      <c r="L265" s="22"/>
      <c r="M265" s="22"/>
      <c r="N265" s="22"/>
      <c r="O265" s="22"/>
      <c r="P265" s="22"/>
      <c r="Q265" s="22"/>
      <c r="R265" s="22"/>
      <c r="S265" s="22"/>
      <c r="T265" s="22"/>
    </row>
    <row r="266" spans="1:20">
      <c r="A266" s="144"/>
      <c r="B266" s="22"/>
      <c r="C266" s="22"/>
      <c r="D266" s="22"/>
      <c r="E266" s="22"/>
      <c r="F266" s="28"/>
      <c r="G266" s="22"/>
      <c r="H266" s="22"/>
      <c r="I266" s="22"/>
      <c r="J266" s="22"/>
      <c r="K266" s="22"/>
      <c r="L266" s="22"/>
      <c r="M266" s="22"/>
      <c r="N266" s="22"/>
      <c r="O266" s="22"/>
      <c r="P266" s="22"/>
      <c r="Q266" s="22"/>
      <c r="R266" s="22"/>
      <c r="S266" s="22"/>
      <c r="T266" s="22"/>
    </row>
    <row r="267" spans="1:20">
      <c r="A267" s="144"/>
      <c r="B267" s="22"/>
      <c r="C267" s="22"/>
      <c r="D267" s="22"/>
      <c r="E267" s="22"/>
      <c r="F267" s="28"/>
      <c r="G267" s="22"/>
      <c r="H267" s="22"/>
      <c r="I267" s="22"/>
      <c r="J267" s="22"/>
      <c r="K267" s="22"/>
      <c r="L267" s="22"/>
      <c r="M267" s="22"/>
      <c r="N267" s="22"/>
      <c r="O267" s="22"/>
      <c r="P267" s="22"/>
      <c r="Q267" s="22"/>
      <c r="R267" s="22"/>
      <c r="S267" s="22"/>
      <c r="T267" s="22"/>
    </row>
    <row r="268" spans="1:20">
      <c r="A268" s="144"/>
      <c r="B268" s="22"/>
      <c r="C268" s="22"/>
      <c r="D268" s="22"/>
      <c r="E268" s="22"/>
      <c r="F268" s="28"/>
      <c r="G268" s="22"/>
      <c r="H268" s="22"/>
      <c r="I268" s="22"/>
      <c r="J268" s="22"/>
      <c r="K268" s="22"/>
      <c r="L268" s="22"/>
      <c r="M268" s="22"/>
      <c r="N268" s="22"/>
      <c r="O268" s="22"/>
      <c r="P268" s="22"/>
      <c r="Q268" s="22"/>
      <c r="R268" s="22"/>
      <c r="S268" s="22"/>
      <c r="T268" s="22"/>
    </row>
    <row r="269" spans="1:20">
      <c r="A269" s="144"/>
      <c r="B269" s="22"/>
      <c r="C269" s="22"/>
      <c r="D269" s="22"/>
      <c r="E269" s="22"/>
      <c r="F269" s="28"/>
      <c r="G269" s="22"/>
      <c r="H269" s="22"/>
      <c r="I269" s="22"/>
      <c r="J269" s="22"/>
      <c r="K269" s="22"/>
      <c r="L269" s="22"/>
      <c r="M269" s="22"/>
      <c r="N269" s="22"/>
      <c r="O269" s="22"/>
      <c r="P269" s="22"/>
      <c r="Q269" s="22"/>
      <c r="R269" s="22"/>
      <c r="S269" s="22"/>
      <c r="T269" s="22"/>
    </row>
    <row r="270" spans="1:20">
      <c r="A270" s="144"/>
      <c r="B270" s="22"/>
      <c r="C270" s="22"/>
      <c r="D270" s="22"/>
      <c r="E270" s="22"/>
      <c r="F270" s="28"/>
      <c r="G270" s="22"/>
      <c r="H270" s="22"/>
      <c r="I270" s="22"/>
      <c r="J270" s="22"/>
      <c r="K270" s="22"/>
      <c r="L270" s="22"/>
      <c r="M270" s="22"/>
      <c r="N270" s="22"/>
      <c r="O270" s="22"/>
      <c r="P270" s="22"/>
      <c r="Q270" s="22"/>
      <c r="R270" s="22"/>
      <c r="S270" s="22"/>
      <c r="T270" s="22"/>
    </row>
    <row r="271" spans="1:20">
      <c r="A271" s="144"/>
      <c r="B271" s="22"/>
      <c r="C271" s="22"/>
      <c r="D271" s="22"/>
      <c r="E271" s="22"/>
      <c r="F271" s="28"/>
      <c r="G271" s="22"/>
      <c r="H271" s="22"/>
      <c r="I271" s="22"/>
      <c r="J271" s="22"/>
      <c r="K271" s="22"/>
      <c r="L271" s="22"/>
      <c r="M271" s="22"/>
      <c r="N271" s="22"/>
      <c r="O271" s="22"/>
      <c r="P271" s="22"/>
      <c r="Q271" s="22"/>
      <c r="R271" s="22"/>
      <c r="S271" s="22"/>
      <c r="T271" s="22"/>
    </row>
    <row r="272" spans="1:20">
      <c r="A272" s="144"/>
      <c r="B272" s="22"/>
      <c r="C272" s="22"/>
      <c r="D272" s="22"/>
      <c r="E272" s="22"/>
      <c r="F272" s="28"/>
      <c r="G272" s="22"/>
      <c r="H272" s="22"/>
      <c r="I272" s="22"/>
      <c r="J272" s="22"/>
      <c r="K272" s="22"/>
      <c r="L272" s="22"/>
      <c r="M272" s="22"/>
      <c r="N272" s="22"/>
      <c r="O272" s="22"/>
      <c r="P272" s="22"/>
      <c r="Q272" s="22"/>
      <c r="R272" s="22"/>
      <c r="S272" s="22"/>
      <c r="T272" s="22"/>
    </row>
    <row r="273" spans="1:20">
      <c r="A273" s="144"/>
      <c r="B273" s="22"/>
      <c r="C273" s="22"/>
      <c r="D273" s="22"/>
      <c r="E273" s="22"/>
      <c r="F273" s="28"/>
      <c r="G273" s="22"/>
      <c r="H273" s="22"/>
      <c r="I273" s="22"/>
      <c r="J273" s="22"/>
      <c r="K273" s="22"/>
      <c r="L273" s="22"/>
      <c r="M273" s="22"/>
      <c r="N273" s="22"/>
      <c r="O273" s="22"/>
      <c r="P273" s="22"/>
      <c r="Q273" s="22"/>
      <c r="R273" s="22"/>
      <c r="S273" s="22"/>
      <c r="T273" s="22"/>
    </row>
    <row r="274" spans="1:20">
      <c r="A274" s="144"/>
      <c r="B274" s="22"/>
      <c r="C274" s="22"/>
      <c r="D274" s="22"/>
      <c r="E274" s="22"/>
      <c r="F274" s="28"/>
      <c r="G274" s="22"/>
      <c r="H274" s="22"/>
      <c r="I274" s="22"/>
      <c r="J274" s="22"/>
      <c r="K274" s="22"/>
      <c r="L274" s="22"/>
      <c r="M274" s="22"/>
      <c r="N274" s="22"/>
      <c r="O274" s="22"/>
      <c r="P274" s="22"/>
      <c r="Q274" s="22"/>
      <c r="R274" s="22"/>
      <c r="S274" s="22"/>
      <c r="T274" s="22"/>
    </row>
    <row r="275" spans="1:20">
      <c r="A275" s="144"/>
      <c r="B275" s="22"/>
      <c r="C275" s="22"/>
      <c r="D275" s="22"/>
      <c r="E275" s="22"/>
      <c r="F275" s="28"/>
      <c r="G275" s="22"/>
      <c r="H275" s="22"/>
      <c r="I275" s="22"/>
      <c r="J275" s="22"/>
      <c r="K275" s="22"/>
      <c r="L275" s="22"/>
      <c r="M275" s="22"/>
      <c r="N275" s="22"/>
      <c r="O275" s="22"/>
      <c r="P275" s="22"/>
      <c r="Q275" s="22"/>
      <c r="R275" s="22"/>
      <c r="S275" s="22"/>
      <c r="T275" s="22"/>
    </row>
    <row r="276" spans="1:20">
      <c r="A276" s="144"/>
      <c r="B276" s="22"/>
      <c r="C276" s="22"/>
      <c r="D276" s="22"/>
      <c r="E276" s="22"/>
      <c r="F276" s="28"/>
      <c r="G276" s="22"/>
      <c r="H276" s="22"/>
      <c r="I276" s="22"/>
      <c r="J276" s="22"/>
      <c r="K276" s="22"/>
      <c r="L276" s="22"/>
      <c r="M276" s="22"/>
      <c r="N276" s="22"/>
      <c r="O276" s="22"/>
      <c r="P276" s="22"/>
      <c r="Q276" s="22"/>
      <c r="R276" s="22"/>
      <c r="S276" s="22"/>
      <c r="T276" s="22"/>
    </row>
    <row r="277" spans="1:20">
      <c r="A277" s="144"/>
      <c r="B277" s="22"/>
      <c r="C277" s="22"/>
      <c r="D277" s="22"/>
      <c r="E277" s="22"/>
      <c r="F277" s="28"/>
      <c r="G277" s="22"/>
      <c r="H277" s="22"/>
      <c r="I277" s="22"/>
      <c r="J277" s="22"/>
      <c r="K277" s="22"/>
      <c r="L277" s="22"/>
      <c r="M277" s="22"/>
      <c r="N277" s="22"/>
      <c r="O277" s="22"/>
      <c r="P277" s="22"/>
      <c r="Q277" s="22"/>
      <c r="R277" s="22"/>
      <c r="S277" s="22"/>
      <c r="T277" s="22"/>
    </row>
    <row r="278" spans="1:20">
      <c r="A278" s="144"/>
      <c r="B278" s="22"/>
      <c r="C278" s="22"/>
      <c r="D278" s="22"/>
      <c r="E278" s="22"/>
      <c r="F278" s="28"/>
      <c r="G278" s="22"/>
      <c r="H278" s="22"/>
      <c r="I278" s="22"/>
      <c r="J278" s="22"/>
      <c r="K278" s="22"/>
      <c r="L278" s="22"/>
      <c r="M278" s="22"/>
      <c r="N278" s="22"/>
      <c r="O278" s="22"/>
      <c r="P278" s="22"/>
      <c r="Q278" s="22"/>
      <c r="R278" s="22"/>
      <c r="S278" s="22"/>
      <c r="T278" s="22"/>
    </row>
    <row r="279" spans="1:20">
      <c r="A279" s="144"/>
      <c r="B279" s="22"/>
      <c r="C279" s="22"/>
      <c r="D279" s="22"/>
      <c r="E279" s="22"/>
      <c r="F279" s="28"/>
      <c r="G279" s="22"/>
      <c r="H279" s="22"/>
      <c r="I279" s="22"/>
      <c r="J279" s="22"/>
      <c r="K279" s="22"/>
      <c r="L279" s="22"/>
      <c r="M279" s="22"/>
      <c r="N279" s="22"/>
      <c r="O279" s="22"/>
      <c r="P279" s="22"/>
      <c r="Q279" s="22"/>
      <c r="R279" s="22"/>
      <c r="S279" s="22"/>
      <c r="T279" s="22"/>
    </row>
    <row r="280" spans="1:20">
      <c r="A280" s="144"/>
      <c r="B280" s="22"/>
      <c r="C280" s="22"/>
      <c r="D280" s="22"/>
      <c r="E280" s="22"/>
      <c r="F280" s="28"/>
      <c r="G280" s="22"/>
      <c r="H280" s="22"/>
      <c r="I280" s="22"/>
      <c r="J280" s="22"/>
      <c r="K280" s="22"/>
      <c r="L280" s="22"/>
      <c r="M280" s="22"/>
      <c r="N280" s="22"/>
      <c r="O280" s="22"/>
      <c r="P280" s="22"/>
      <c r="Q280" s="22"/>
      <c r="R280" s="22"/>
      <c r="S280" s="22"/>
      <c r="T280" s="22"/>
    </row>
  </sheetData>
  <sheetProtection algorithmName="SHA-512" hashValue="BvWLhlIUFhzEgpwGgf0vfY7wT6MGUCjzh+K3RGM5j3SpcraNLQoeAQxo9ifJgnXA7NboJghbSIEqQnbJyTcFSg==" saltValue="xdmgaB9zRJ0MnoJ6Nl5xvA==" spinCount="100000" sheet="1" objects="1" scenarios="1"/>
  <customSheetViews>
    <customSheetView guid="{52A26A5D-FD00-480B-943F-DB06B537D6D8}" scale="90" hiddenRows="1" topLeftCell="A7">
      <selection activeCell="A17" sqref="A17"/>
      <rowBreaks count="1" manualBreakCount="1">
        <brk id="46" max="16383" man="1"/>
      </rowBreaks>
      <pageMargins left="0" right="0" top="0" bottom="0" header="0" footer="0"/>
      <pageSetup scale="43" orientation="landscape" r:id="rId1"/>
    </customSheetView>
    <customSheetView guid="{EF22FA0B-F747-41C1-93DE-56651BBC6020}" scale="70" hiddenRows="1">
      <selection activeCell="C35" sqref="C35"/>
      <rowBreaks count="1" manualBreakCount="1">
        <brk id="45" max="16383" man="1"/>
      </rowBreaks>
      <pageMargins left="0" right="0" top="0" bottom="0" header="0" footer="0"/>
      <pageSetup scale="43" orientation="landscape" r:id="rId2"/>
    </customSheetView>
  </customSheetViews>
  <mergeCells count="23">
    <mergeCell ref="A52:A53"/>
    <mergeCell ref="A40:A41"/>
    <mergeCell ref="A1:F1"/>
    <mergeCell ref="B14:C14"/>
    <mergeCell ref="B15:C15"/>
    <mergeCell ref="B11:D11"/>
    <mergeCell ref="B16:C16"/>
    <mergeCell ref="B17:C17"/>
    <mergeCell ref="B18:C18"/>
    <mergeCell ref="B19:C19"/>
    <mergeCell ref="A33:A34"/>
    <mergeCell ref="B21:C21"/>
    <mergeCell ref="B12:C12"/>
    <mergeCell ref="B13:C13"/>
    <mergeCell ref="B20:C20"/>
    <mergeCell ref="B29:C29"/>
    <mergeCell ref="B27:C27"/>
    <mergeCell ref="B28:C28"/>
    <mergeCell ref="B22:C22"/>
    <mergeCell ref="B23:C23"/>
    <mergeCell ref="B24:C24"/>
    <mergeCell ref="B25:C25"/>
    <mergeCell ref="B26:C26"/>
  </mergeCells>
  <dataValidations count="20">
    <dataValidation type="list" allowBlank="1" showInputMessage="1" showErrorMessage="1" sqref="D40" xr:uid="{00000000-0002-0000-0400-000000000000}">
      <formula1>$B$87:$D$87</formula1>
    </dataValidation>
    <dataValidation type="list" allowBlank="1" showInputMessage="1" showErrorMessage="1" sqref="D41" xr:uid="{00000000-0002-0000-0400-000001000000}">
      <formula1>$B$88:$D$88</formula1>
    </dataValidation>
    <dataValidation type="list" allowBlank="1" showInputMessage="1" showErrorMessage="1" sqref="D14:D15" xr:uid="{00000000-0002-0000-0400-000004000000}">
      <formula1>$B$82:$D$82</formula1>
    </dataValidation>
    <dataValidation type="list" allowBlank="1" showInputMessage="1" showErrorMessage="1" sqref="D33:D34" xr:uid="{00000000-0002-0000-0400-000005000000}">
      <formula1>$B$83:$I$83</formula1>
    </dataValidation>
    <dataValidation type="list" allowBlank="1" showInputMessage="1" showErrorMessage="1" sqref="D35" xr:uid="{00000000-0002-0000-0400-000006000000}">
      <formula1>$B$84:$F$84</formula1>
    </dataValidation>
    <dataValidation type="list" allowBlank="1" showInputMessage="1" showErrorMessage="1" sqref="D46" xr:uid="{00000000-0002-0000-0400-000008000000}">
      <formula1>$B$91:$D$91</formula1>
    </dataValidation>
    <dataValidation type="list" allowBlank="1" showInputMessage="1" showErrorMessage="1" sqref="D47" xr:uid="{00000000-0002-0000-0400-000009000000}">
      <formula1>$B$92:$D$92</formula1>
    </dataValidation>
    <dataValidation type="list" allowBlank="1" showInputMessage="1" showErrorMessage="1" sqref="D59" xr:uid="{00000000-0002-0000-0400-00000B000000}">
      <formula1>$B$99:$D$99</formula1>
    </dataValidation>
    <dataValidation type="list" allowBlank="1" showInputMessage="1" showErrorMessage="1" sqref="D61" xr:uid="{00000000-0002-0000-0400-00000C000000}">
      <formula1>$B$101:$E$101</formula1>
    </dataValidation>
    <dataValidation type="list" allowBlank="1" showInputMessage="1" showErrorMessage="1" sqref="D60" xr:uid="{00000000-0002-0000-0400-00000D000000}">
      <formula1>$B$100:$E$100</formula1>
    </dataValidation>
    <dataValidation type="list" allowBlank="1" showInputMessage="1" showErrorMessage="1" sqref="D58" xr:uid="{00000000-0002-0000-0400-00000E000000}">
      <formula1>$B$98:$D$98</formula1>
    </dataValidation>
    <dataValidation type="list" allowBlank="1" showInputMessage="1" showErrorMessage="1" sqref="D55" xr:uid="{00000000-0002-0000-0400-00000F000000}">
      <formula1>$B$97:$F$97</formula1>
    </dataValidation>
    <dataValidation type="list" allowBlank="1" showInputMessage="1" showErrorMessage="1" sqref="D36" xr:uid="{00000000-0002-0000-0400-000012000000}">
      <formula1>$B$85:$E$85</formula1>
    </dataValidation>
    <dataValidation type="list" allowBlank="1" showInputMessage="1" showErrorMessage="1" sqref="D53" xr:uid="{6DCF044B-AE22-463D-9F9A-6D004C51AB59}">
      <formula1>$B$95:$F$95</formula1>
    </dataValidation>
    <dataValidation type="list" allowBlank="1" showInputMessage="1" showErrorMessage="1" sqref="D37" xr:uid="{3A197B5C-1EE1-43C7-9B5C-C4CDED0FCF34}">
      <formula1>$B$86:$D$86</formula1>
    </dataValidation>
    <dataValidation type="list" allowBlank="1" showInputMessage="1" showErrorMessage="1" sqref="D54" xr:uid="{CBBB5A99-4760-4BCC-84DC-D30CBE3DBB22}">
      <formula1>$B$96:$F$96</formula1>
    </dataValidation>
    <dataValidation type="list" allowBlank="1" showInputMessage="1" showErrorMessage="1" sqref="D52" xr:uid="{00000000-0002-0000-0400-000010000000}">
      <formula1>$B$94:$G$94</formula1>
    </dataValidation>
    <dataValidation type="list" allowBlank="1" showInputMessage="1" showErrorMessage="1" sqref="D42" xr:uid="{C5D78EE1-46F8-441E-8ACA-702ED5380B17}">
      <formula1>$B$89:$F$89</formula1>
    </dataValidation>
    <dataValidation type="list" allowBlank="1" showInputMessage="1" showErrorMessage="1" sqref="D20" xr:uid="{6C623A4A-85F2-4B68-A42B-41ABE65EF66D}">
      <formula1>$B$102:$D$102</formula1>
    </dataValidation>
    <dataValidation type="list" allowBlank="1" showInputMessage="1" showErrorMessage="1" sqref="D48" xr:uid="{AD008462-95A7-4590-B0AB-B0F3D9A8CC8E}">
      <formula1>$B$93:$E$93</formula1>
    </dataValidation>
  </dataValidations>
  <hyperlinks>
    <hyperlink ref="E17" r:id="rId3" display="EIA Form 861 (2014)" xr:uid="{00000000-0004-0000-0400-000000000000}"/>
    <hyperlink ref="E18" r:id="rId4" location="?report=RPC&amp;year1=2012&amp;year2=2019&amp;sortby=ACI&amp;company=Name&amp;items=1010CT,1020VL" xr:uid="{00000000-0004-0000-0400-000002000000}"/>
    <hyperlink ref="E16" r:id="rId5" display="EIA Form 861 (2014)" xr:uid="{00000000-0004-0000-0400-000003000000}"/>
  </hyperlinks>
  <pageMargins left="0.7" right="0.7" top="0.75" bottom="0.75" header="0.3" footer="0.3"/>
  <pageSetup scale="43" orientation="landscape" r:id="rId6"/>
  <rowBreaks count="1" manualBreakCount="1">
    <brk id="43" max="16383" man="1"/>
  </rowBreaks>
  <drawing r:id="rId7"/>
  <legacyDrawing r:id="rId8"/>
  <tableParts count="1">
    <tablePart r:id="rId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sheetPr>
  <dimension ref="A1:AL156"/>
  <sheetViews>
    <sheetView zoomScale="50" zoomScaleNormal="50" workbookViewId="0">
      <selection activeCell="D9" sqref="D9:F9"/>
    </sheetView>
  </sheetViews>
  <sheetFormatPr defaultColWidth="9.1796875" defaultRowHeight="14.5"/>
  <cols>
    <col min="1" max="1" width="51.1796875" style="145" customWidth="1"/>
    <col min="2" max="2" width="65.81640625" customWidth="1"/>
    <col min="3" max="3" width="52.81640625" customWidth="1"/>
    <col min="4" max="4" width="57.453125" customWidth="1"/>
    <col min="5" max="5" width="25.1796875" customWidth="1"/>
    <col min="6" max="6" width="25.453125" customWidth="1"/>
    <col min="7" max="7" width="37.7265625" customWidth="1"/>
    <col min="8" max="9" width="11" customWidth="1"/>
    <col min="10" max="10" width="16.7265625" bestFit="1" customWidth="1"/>
    <col min="11" max="11" width="20" bestFit="1" customWidth="1"/>
    <col min="12" max="12" width="16" bestFit="1" customWidth="1"/>
    <col min="14" max="14" width="9.1796875" customWidth="1"/>
    <col min="15" max="15" width="58.453125" customWidth="1"/>
    <col min="16" max="16" width="17.1796875" customWidth="1"/>
  </cols>
  <sheetData>
    <row r="1" spans="1:38" ht="26.25" customHeight="1">
      <c r="A1" s="591" t="s">
        <v>103</v>
      </c>
      <c r="B1" s="583"/>
      <c r="C1" s="583"/>
      <c r="D1" s="583"/>
      <c r="E1" s="583"/>
      <c r="F1" s="583"/>
      <c r="G1" s="583"/>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row>
    <row r="2" spans="1:38" s="22" customFormat="1" ht="25.5" customHeight="1" thickBot="1">
      <c r="A2" s="144"/>
      <c r="C2" s="21"/>
      <c r="D2" s="21"/>
      <c r="E2" s="21"/>
      <c r="F2" s="21"/>
    </row>
    <row r="3" spans="1:38" ht="36" customHeight="1" thickBot="1">
      <c r="A3" s="146" t="s">
        <v>660</v>
      </c>
      <c r="B3" s="207" t="str">
        <f>E51   &amp; " of " &amp; 10</f>
        <v>0 of 10</v>
      </c>
      <c r="C3" s="21"/>
      <c r="D3" s="21"/>
      <c r="E3" s="21"/>
      <c r="F3" s="21"/>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row>
    <row r="4" spans="1:38" ht="21">
      <c r="A4" s="485" t="s">
        <v>661</v>
      </c>
      <c r="B4" s="204" t="str">
        <f>SUM(E24:E24,E28:E29,E33:E33)   &amp; " of " &amp; 4</f>
        <v>0 of 4</v>
      </c>
      <c r="C4" s="25"/>
      <c r="D4" s="24"/>
      <c r="E4" s="21"/>
      <c r="F4" s="21"/>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row>
    <row r="5" spans="1:38" s="22" customFormat="1" ht="21">
      <c r="A5" s="147" t="s">
        <v>662</v>
      </c>
      <c r="B5" s="112" t="str">
        <f>SUM(E38:E43)   &amp; " of " &amp; 4</f>
        <v>0 of 4</v>
      </c>
      <c r="C5" s="25"/>
      <c r="D5" s="24"/>
      <c r="E5" s="21"/>
      <c r="F5" s="21"/>
    </row>
    <row r="6" spans="1:38" s="22" customFormat="1" ht="21.5" thickBot="1">
      <c r="A6" s="148" t="s">
        <v>663</v>
      </c>
      <c r="B6" s="113" t="str">
        <f>SUM(E47:E49)   &amp; " of " &amp; 2</f>
        <v>0 of 2</v>
      </c>
      <c r="C6" s="25"/>
      <c r="D6" s="21"/>
      <c r="E6" s="21"/>
      <c r="F6" s="21"/>
    </row>
    <row r="7" spans="1:38" ht="24" customHeight="1" thickBot="1">
      <c r="A7" s="167"/>
      <c r="B7" s="22"/>
      <c r="C7" s="25"/>
      <c r="D7" s="106"/>
      <c r="E7" s="21"/>
      <c r="F7" s="21"/>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8" spans="1:38" ht="39.75" customHeight="1" thickBot="1">
      <c r="A8" s="144"/>
      <c r="B8" s="549" t="s">
        <v>125</v>
      </c>
      <c r="C8" s="550"/>
      <c r="D8" s="550"/>
      <c r="E8" s="550"/>
      <c r="F8" s="551"/>
      <c r="G8" s="348" t="s">
        <v>126</v>
      </c>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row>
    <row r="9" spans="1:38" ht="30.75" customHeight="1">
      <c r="A9" s="144"/>
      <c r="B9" s="592" t="s">
        <v>664</v>
      </c>
      <c r="C9" s="593"/>
      <c r="D9" s="594"/>
      <c r="E9" s="594"/>
      <c r="F9" s="595"/>
      <c r="G9" s="398" t="s">
        <v>132</v>
      </c>
      <c r="H9" s="22"/>
      <c r="I9" s="22"/>
      <c r="J9" s="22"/>
      <c r="K9" s="22"/>
      <c r="L9" s="41"/>
      <c r="M9" s="22"/>
      <c r="N9" s="22"/>
      <c r="O9" s="22"/>
      <c r="P9" s="22"/>
      <c r="Q9" s="22"/>
      <c r="R9" s="22"/>
      <c r="S9" s="22"/>
      <c r="T9" s="22"/>
      <c r="U9" s="22"/>
      <c r="V9" s="22"/>
      <c r="W9" s="22"/>
      <c r="X9" s="22"/>
      <c r="Y9" s="22"/>
      <c r="Z9" s="22"/>
      <c r="AA9" s="22"/>
      <c r="AB9" s="22"/>
      <c r="AC9" s="22"/>
      <c r="AD9" s="22"/>
      <c r="AE9" s="22"/>
      <c r="AF9" s="22"/>
      <c r="AG9" s="22"/>
      <c r="AH9" s="22"/>
      <c r="AI9" s="22"/>
      <c r="AJ9" s="22"/>
      <c r="AK9" s="22"/>
      <c r="AL9" s="22"/>
    </row>
    <row r="10" spans="1:38" ht="30.75" customHeight="1">
      <c r="A10" s="144"/>
      <c r="B10" s="604" t="s">
        <v>665</v>
      </c>
      <c r="C10" s="605"/>
      <c r="D10" s="598"/>
      <c r="E10" s="606"/>
      <c r="F10" s="599"/>
      <c r="G10" s="277" t="s">
        <v>132</v>
      </c>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row>
    <row r="11" spans="1:38" ht="30.75" customHeight="1" thickBot="1">
      <c r="A11" s="144"/>
      <c r="B11" s="563" t="s">
        <v>666</v>
      </c>
      <c r="C11" s="564"/>
      <c r="D11" s="611"/>
      <c r="E11" s="611"/>
      <c r="F11" s="612"/>
      <c r="G11" s="399" t="s">
        <v>132</v>
      </c>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row>
    <row r="12" spans="1:38" ht="39.75" customHeight="1">
      <c r="A12" s="217"/>
      <c r="B12" s="504" t="s">
        <v>127</v>
      </c>
      <c r="C12" s="400" t="s">
        <v>129</v>
      </c>
      <c r="D12" s="505" t="s">
        <v>128</v>
      </c>
      <c r="E12" s="586" t="s">
        <v>130</v>
      </c>
      <c r="F12" s="613"/>
      <c r="G12" s="348" t="s">
        <v>126</v>
      </c>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8" ht="30.75" customHeight="1">
      <c r="A13" s="217"/>
      <c r="B13" s="501" t="s">
        <v>131</v>
      </c>
      <c r="C13" s="310"/>
      <c r="D13" s="310"/>
      <c r="E13" s="596"/>
      <c r="F13" s="597"/>
      <c r="G13" s="295" t="s">
        <v>132</v>
      </c>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row>
    <row r="14" spans="1:38" ht="54.5" customHeight="1">
      <c r="A14" s="144"/>
      <c r="B14" s="501" t="s">
        <v>667</v>
      </c>
      <c r="C14" s="403"/>
      <c r="D14" s="403"/>
      <c r="E14" s="598"/>
      <c r="F14" s="599"/>
      <c r="G14" s="295" t="s">
        <v>132</v>
      </c>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row>
    <row r="15" spans="1:38" ht="110" customHeight="1">
      <c r="A15" s="144"/>
      <c r="B15" s="501" t="s">
        <v>1583</v>
      </c>
      <c r="C15" s="404"/>
      <c r="D15" s="404"/>
      <c r="E15" s="600"/>
      <c r="F15" s="601"/>
      <c r="G15" s="295" t="s">
        <v>132</v>
      </c>
      <c r="H15" s="22"/>
      <c r="I15" s="22"/>
      <c r="J15" s="22"/>
      <c r="K15" s="22"/>
      <c r="L15" s="41"/>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row>
    <row r="16" spans="1:38" ht="30.75" customHeight="1">
      <c r="A16" s="144"/>
      <c r="B16" s="501" t="s">
        <v>134</v>
      </c>
      <c r="C16" s="310"/>
      <c r="D16" s="310"/>
      <c r="E16" s="596"/>
      <c r="F16" s="597"/>
      <c r="G16" s="295" t="s">
        <v>132</v>
      </c>
      <c r="H16" s="22"/>
      <c r="I16" s="22"/>
      <c r="J16" s="22"/>
      <c r="K16" s="22"/>
      <c r="L16" s="41"/>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row>
    <row r="17" spans="1:38" ht="102" customHeight="1">
      <c r="A17" s="144"/>
      <c r="B17" s="501" t="s">
        <v>1565</v>
      </c>
      <c r="C17" s="404"/>
      <c r="D17" s="404"/>
      <c r="E17" s="600"/>
      <c r="F17" s="601"/>
      <c r="G17" s="295" t="s">
        <v>132</v>
      </c>
      <c r="H17" s="22"/>
      <c r="I17" s="22"/>
      <c r="J17" s="22"/>
      <c r="K17" s="22"/>
      <c r="L17" s="41"/>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row>
    <row r="18" spans="1:38" ht="37.5" customHeight="1">
      <c r="A18" s="217"/>
      <c r="B18" s="501" t="s">
        <v>668</v>
      </c>
      <c r="C18" s="310"/>
      <c r="D18" s="310"/>
      <c r="E18" s="596"/>
      <c r="F18" s="597"/>
      <c r="G18" s="295" t="s">
        <v>132</v>
      </c>
      <c r="H18" s="22"/>
      <c r="I18" s="22"/>
      <c r="J18" s="22"/>
      <c r="K18" s="22"/>
      <c r="L18" s="41"/>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row>
    <row r="19" spans="1:38" ht="56.5" customHeight="1">
      <c r="A19" s="217"/>
      <c r="B19" s="408" t="s">
        <v>669</v>
      </c>
      <c r="C19" s="405"/>
      <c r="D19" s="405"/>
      <c r="E19" s="602"/>
      <c r="F19" s="603"/>
      <c r="G19" s="297" t="s">
        <v>132</v>
      </c>
      <c r="H19" s="22"/>
      <c r="I19" s="22"/>
      <c r="J19" s="22"/>
      <c r="K19" s="22"/>
      <c r="L19" s="41"/>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row>
    <row r="20" spans="1:38" ht="83" customHeight="1">
      <c r="B20" s="501" t="s">
        <v>1584</v>
      </c>
      <c r="C20" s="406"/>
      <c r="D20" s="406"/>
      <c r="E20" s="607"/>
      <c r="F20" s="608"/>
      <c r="G20" s="286" t="s">
        <v>137</v>
      </c>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row>
    <row r="21" spans="1:38" ht="30.75" customHeight="1">
      <c r="A21" s="138"/>
      <c r="B21" s="409" t="s">
        <v>138</v>
      </c>
      <c r="C21" s="407"/>
      <c r="D21" s="407"/>
      <c r="E21" s="609"/>
      <c r="F21" s="610"/>
      <c r="G21" s="290" t="s">
        <v>132</v>
      </c>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row>
    <row r="22" spans="1:38" ht="50.5" customHeight="1" thickBot="1">
      <c r="A22" s="137" t="s">
        <v>670</v>
      </c>
      <c r="B22" s="144"/>
      <c r="C22" s="22"/>
      <c r="D22" s="22"/>
      <c r="E22" s="66"/>
      <c r="F22" s="66"/>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row>
    <row r="23" spans="1:38" ht="40" customHeight="1">
      <c r="A23" s="273" t="s">
        <v>7</v>
      </c>
      <c r="B23" s="291" t="s">
        <v>127</v>
      </c>
      <c r="C23" s="291" t="s">
        <v>571</v>
      </c>
      <c r="D23" s="291" t="s">
        <v>141</v>
      </c>
      <c r="E23" s="291" t="s">
        <v>142</v>
      </c>
      <c r="F23" s="348" t="s">
        <v>126</v>
      </c>
      <c r="G23" s="22"/>
      <c r="H23" s="22"/>
      <c r="I23" s="22"/>
      <c r="J23" s="22"/>
      <c r="K23" s="22"/>
      <c r="L23" s="81"/>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row>
    <row r="24" spans="1:38" ht="39" customHeight="1" thickBot="1">
      <c r="A24" s="298" t="s">
        <v>671</v>
      </c>
      <c r="B24" s="206" t="str">
        <f>IF(OR(D9="Yes"),"What are the average annual energy savings required to meet the goal?","Not applicable")</f>
        <v>Not applicable</v>
      </c>
      <c r="C24" s="410" t="str">
        <f>IF(AND(Nearest_target_year="",Reduction_target="",Baseline_emissions_energy_use="",Goal_adoption_year_or_most_recent_year_of_available_data="",Emissions_energy_use_in_above_year=""),"",(1-(((1-Reduction_target)*Baseline_emissions_energy_use)/Emissions_energy_use_in_above_year))/(Nearest_target_year-Goal_adoption_year_or_most_recent_year_of_available_data))</f>
        <v/>
      </c>
      <c r="D24" s="311"/>
      <c r="E24" s="288" t="str">
        <f>IF(D24=B83,1,IF(D24=C83,0.5,IF(D24=D83,0,"")))</f>
        <v/>
      </c>
      <c r="F24" s="299" t="s">
        <v>132</v>
      </c>
      <c r="G24" s="31"/>
      <c r="H24" s="22"/>
      <c r="I24" s="22"/>
      <c r="J24" s="22"/>
      <c r="K24" s="40"/>
      <c r="L24" s="22"/>
      <c r="M24" s="22"/>
      <c r="N24" s="22"/>
      <c r="O24" s="22"/>
      <c r="P24" s="80"/>
      <c r="Q24" s="22"/>
      <c r="R24" s="22"/>
      <c r="S24" s="22"/>
      <c r="T24" s="22"/>
      <c r="U24" s="22"/>
      <c r="V24" s="22"/>
      <c r="W24" s="22"/>
      <c r="X24" s="22"/>
      <c r="Y24" s="22"/>
      <c r="Z24" s="22"/>
      <c r="AA24" s="22"/>
      <c r="AB24" s="22"/>
      <c r="AC24" s="22"/>
      <c r="AD24" s="22"/>
      <c r="AE24" s="22"/>
      <c r="AF24" s="22"/>
      <c r="AG24" s="22"/>
      <c r="AH24" s="22"/>
      <c r="AI24" s="22"/>
      <c r="AJ24" s="22"/>
      <c r="AK24" s="22"/>
    </row>
    <row r="25" spans="1:38" ht="24" customHeight="1">
      <c r="A25" s="519"/>
      <c r="B25" s="91"/>
      <c r="C25" s="26"/>
      <c r="D25" s="27"/>
      <c r="E25" s="28"/>
      <c r="F25" s="28"/>
      <c r="G25" s="31"/>
      <c r="H25" s="22"/>
      <c r="I25" s="22"/>
      <c r="J25" s="22"/>
      <c r="K25" s="22"/>
      <c r="L25" s="8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row>
    <row r="26" spans="1:38" s="45" customFormat="1" ht="24.75" customHeight="1" thickBot="1">
      <c r="A26" s="137" t="s">
        <v>153</v>
      </c>
      <c r="B26" s="215"/>
      <c r="C26" s="26"/>
      <c r="D26" s="27"/>
      <c r="E26" s="28"/>
      <c r="F26" s="28"/>
      <c r="G26" s="31"/>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row>
    <row r="27" spans="1:38" s="22" customFormat="1" ht="40" customHeight="1">
      <c r="A27" s="273" t="s">
        <v>7</v>
      </c>
      <c r="B27" s="291" t="s">
        <v>127</v>
      </c>
      <c r="C27" s="291" t="s">
        <v>571</v>
      </c>
      <c r="D27" s="291" t="s">
        <v>141</v>
      </c>
      <c r="E27" s="291" t="s">
        <v>142</v>
      </c>
      <c r="F27" s="348" t="s">
        <v>126</v>
      </c>
      <c r="G27" s="31"/>
    </row>
    <row r="28" spans="1:38" s="22" customFormat="1" ht="35.25" customHeight="1">
      <c r="A28" s="293" t="s">
        <v>671</v>
      </c>
      <c r="B28" s="315" t="str">
        <f>IF(OR(D10="Yes"),"What are the average annual greenhouse gas savings required to meet the goal?","Not applicable")</f>
        <v>Not applicable</v>
      </c>
      <c r="C28" s="395" t="str">
        <f>IFERROR((1-(((1-$E$14)*$E$15)/$E$17))/($E$13-$E$16),"")</f>
        <v/>
      </c>
      <c r="D28" s="333"/>
      <c r="E28" s="281" t="str">
        <f>IF(D28=B85,1,IF(D28=C85,0.5,IF(D28=D85,0,"")))</f>
        <v/>
      </c>
      <c r="F28" s="295" t="s">
        <v>132</v>
      </c>
      <c r="G28" s="31"/>
    </row>
    <row r="29" spans="1:38" s="22" customFormat="1" ht="41.25" customHeight="1" thickBot="1">
      <c r="A29" s="298" t="s">
        <v>672</v>
      </c>
      <c r="B29" s="206" t="str">
        <f>IF(OR(D10="Yes"),"If the local government has adopted a greenhouse gas reduction target for city operations, is it on track to achieve it?","Not applicable")</f>
        <v>Not applicable</v>
      </c>
      <c r="C29" s="495" t="str">
        <f ca="1">IFERROR((('Hidden Sheet'!G8*(E13-E16))/(C28*(E13-E16))),"")</f>
        <v/>
      </c>
      <c r="D29" s="354"/>
      <c r="E29" s="301" t="str">
        <f>IF(D29=B86,1,IF(D29=C86,0.5,IF(D29=D86,0,"")))</f>
        <v/>
      </c>
      <c r="F29" s="299" t="s">
        <v>132</v>
      </c>
      <c r="G29" s="31"/>
    </row>
    <row r="30" spans="1:38" s="22" customFormat="1" ht="25" customHeight="1">
      <c r="A30" s="143"/>
      <c r="B30" s="30"/>
      <c r="C30" s="26"/>
      <c r="D30" s="27"/>
      <c r="E30" s="28"/>
      <c r="F30" s="28"/>
      <c r="G30" s="31"/>
    </row>
    <row r="31" spans="1:38" s="22" customFormat="1" ht="25" customHeight="1" thickBot="1">
      <c r="A31" s="137" t="s">
        <v>673</v>
      </c>
      <c r="B31" s="215"/>
      <c r="C31" s="216"/>
      <c r="D31" s="160"/>
      <c r="E31" s="28"/>
      <c r="F31" s="28"/>
      <c r="G31" s="31"/>
    </row>
    <row r="32" spans="1:38" s="22" customFormat="1" ht="39.75" customHeight="1">
      <c r="A32" s="273" t="s">
        <v>7</v>
      </c>
      <c r="B32" s="291" t="s">
        <v>127</v>
      </c>
      <c r="C32" s="291" t="s">
        <v>571</v>
      </c>
      <c r="D32" s="291" t="s">
        <v>141</v>
      </c>
      <c r="E32" s="291" t="s">
        <v>142</v>
      </c>
      <c r="F32" s="348" t="s">
        <v>126</v>
      </c>
      <c r="G32" s="31"/>
    </row>
    <row r="33" spans="1:30" s="22" customFormat="1" ht="39.75" customHeight="1" thickBot="1">
      <c r="A33" s="298" t="s">
        <v>671</v>
      </c>
      <c r="B33" s="206" t="str">
        <f>IF(OR(D11="Yes"),"What is the per-household renewable energy conversion required to meet the goal?","Not applicable")</f>
        <v>Not applicable</v>
      </c>
      <c r="C33" s="411" t="str">
        <f>IFERROR((D13-D16)*D14/D19*(1-0.01*(IF(D13&gt;2030,2030,D13)-D15))/(D13-D15),"")</f>
        <v/>
      </c>
      <c r="D33" s="311"/>
      <c r="E33" s="288" t="str">
        <f>IF(D33=B88,1,IF(D33=C88,0.5,""))</f>
        <v/>
      </c>
      <c r="F33" s="376" t="s">
        <v>132</v>
      </c>
      <c r="G33" s="31"/>
    </row>
    <row r="34" spans="1:30" s="22" customFormat="1" ht="9.75" customHeight="1">
      <c r="A34" s="143"/>
      <c r="B34" s="30"/>
      <c r="C34" s="26"/>
      <c r="D34" s="27"/>
      <c r="E34" s="28"/>
      <c r="F34" s="28"/>
      <c r="G34" s="31"/>
    </row>
    <row r="35" spans="1:30" s="22" customFormat="1" ht="15" customHeight="1">
      <c r="A35" s="143"/>
      <c r="B35" s="30"/>
      <c r="C35" s="26"/>
      <c r="D35" s="27"/>
      <c r="E35" s="28"/>
      <c r="F35" s="28"/>
    </row>
    <row r="36" spans="1:30" s="22" customFormat="1" ht="23.5" customHeight="1" thickBot="1">
      <c r="A36" s="137" t="s">
        <v>662</v>
      </c>
      <c r="B36" s="139"/>
      <c r="C36" s="21"/>
      <c r="D36" s="21"/>
      <c r="E36" s="133"/>
      <c r="F36" s="133"/>
    </row>
    <row r="37" spans="1:30" s="22" customFormat="1" ht="39.75" customHeight="1">
      <c r="A37" s="273" t="s">
        <v>7</v>
      </c>
      <c r="B37" s="291" t="s">
        <v>127</v>
      </c>
      <c r="C37" s="291" t="s">
        <v>571</v>
      </c>
      <c r="D37" s="291" t="s">
        <v>141</v>
      </c>
      <c r="E37" s="291" t="s">
        <v>142</v>
      </c>
      <c r="F37" s="348" t="s">
        <v>126</v>
      </c>
    </row>
    <row r="38" spans="1:30" s="22" customFormat="1" ht="116.5" customHeight="1">
      <c r="A38" s="293" t="s">
        <v>674</v>
      </c>
      <c r="B38" s="377" t="s">
        <v>675</v>
      </c>
      <c r="C38" s="333"/>
      <c r="D38" s="333"/>
      <c r="E38" s="281" t="str">
        <f>IF(D38=B90,0.5,IF(D38=C90,0,""))</f>
        <v/>
      </c>
      <c r="F38" s="295" t="s">
        <v>132</v>
      </c>
    </row>
    <row r="39" spans="1:30" s="22" customFormat="1" ht="51.75" customHeight="1">
      <c r="A39" s="499" t="s">
        <v>108</v>
      </c>
      <c r="B39" s="377" t="s">
        <v>676</v>
      </c>
      <c r="C39" s="333"/>
      <c r="D39" s="333"/>
      <c r="E39" s="401" t="str">
        <f>IF(D39=B91,0.5,IF(D39=C91,0,""))</f>
        <v/>
      </c>
      <c r="F39" s="295" t="s">
        <v>132</v>
      </c>
    </row>
    <row r="40" spans="1:30" s="22" customFormat="1" ht="72" customHeight="1">
      <c r="A40" s="572" t="s">
        <v>677</v>
      </c>
      <c r="B40" s="486" t="s">
        <v>1528</v>
      </c>
      <c r="C40" s="332"/>
      <c r="D40" s="310"/>
      <c r="E40" s="281" t="str">
        <f>IF(D40=B92,0.5,IF(D40=C92,0,""))</f>
        <v/>
      </c>
      <c r="F40" s="295" t="s">
        <v>132</v>
      </c>
    </row>
    <row r="41" spans="1:30" ht="39" customHeight="1">
      <c r="A41" s="573"/>
      <c r="B41" s="486" t="s">
        <v>678</v>
      </c>
      <c r="C41" s="332"/>
      <c r="D41" s="310"/>
      <c r="E41" s="401" t="str">
        <f>IF(D41=B93,1,IF(D41=C93,0.5,IF(D41=D93,0,"")))</f>
        <v/>
      </c>
      <c r="F41" s="295" t="s">
        <v>132</v>
      </c>
      <c r="G41" s="22"/>
      <c r="H41" s="22"/>
      <c r="I41" s="22"/>
      <c r="J41" s="22"/>
      <c r="K41" s="22"/>
      <c r="L41" s="22"/>
      <c r="M41" s="22"/>
      <c r="N41" s="22"/>
      <c r="O41" s="22"/>
      <c r="P41" s="22"/>
      <c r="Q41" s="22"/>
      <c r="R41" s="22"/>
      <c r="S41" s="22"/>
      <c r="T41" s="22"/>
      <c r="U41" s="22"/>
      <c r="V41" s="22"/>
      <c r="W41" s="22"/>
      <c r="X41" s="22"/>
      <c r="Y41" s="22"/>
      <c r="Z41" s="22"/>
      <c r="AA41" s="22"/>
      <c r="AB41" s="22"/>
      <c r="AC41" s="22"/>
      <c r="AD41" s="22"/>
    </row>
    <row r="42" spans="1:30" ht="52" customHeight="1">
      <c r="A42" s="500" t="s">
        <v>679</v>
      </c>
      <c r="B42" s="486" t="s">
        <v>1529</v>
      </c>
      <c r="C42" s="332"/>
      <c r="D42" s="353"/>
      <c r="E42" s="402" t="str">
        <f>IF(D42=B95,1, IF(D42=C95,0.5,IF(D42=D95,0,"")))</f>
        <v/>
      </c>
      <c r="F42" s="297" t="s">
        <v>132</v>
      </c>
      <c r="G42" s="22"/>
      <c r="H42" s="22"/>
      <c r="I42" s="22"/>
      <c r="J42" s="22"/>
      <c r="K42" s="22"/>
      <c r="L42" s="22"/>
      <c r="M42" s="22"/>
      <c r="N42" s="22"/>
      <c r="O42" s="22"/>
      <c r="P42" s="22"/>
      <c r="Q42" s="22"/>
      <c r="R42" s="22"/>
      <c r="S42" s="22"/>
      <c r="T42" s="22"/>
      <c r="U42" s="22"/>
      <c r="V42" s="22"/>
      <c r="W42" s="22"/>
      <c r="X42" s="22"/>
      <c r="Y42" s="22"/>
      <c r="Z42" s="22"/>
      <c r="AA42" s="22"/>
      <c r="AB42" s="22"/>
      <c r="AC42" s="22"/>
      <c r="AD42" s="22"/>
    </row>
    <row r="43" spans="1:30" ht="96" customHeight="1" thickBot="1">
      <c r="A43" s="298" t="s">
        <v>113</v>
      </c>
      <c r="B43" s="380" t="s">
        <v>1530</v>
      </c>
      <c r="C43" s="354"/>
      <c r="D43" s="365"/>
      <c r="E43" s="301" t="str">
        <f>IF(D43=B94,0.5,IF(D43=C94,0,""))</f>
        <v/>
      </c>
      <c r="F43" s="299" t="s">
        <v>132</v>
      </c>
      <c r="G43" s="22"/>
      <c r="H43" s="22"/>
      <c r="I43" s="22"/>
      <c r="J43" s="22"/>
      <c r="K43" s="22"/>
      <c r="L43" s="22"/>
      <c r="M43" s="22"/>
      <c r="N43" s="22"/>
      <c r="O43" s="22"/>
      <c r="P43" s="22"/>
      <c r="Q43" s="22"/>
      <c r="R43" s="22"/>
      <c r="S43" s="22"/>
      <c r="T43" s="22"/>
      <c r="U43" s="22"/>
      <c r="V43" s="22"/>
      <c r="W43" s="22"/>
      <c r="X43" s="22"/>
      <c r="Y43" s="22"/>
      <c r="Z43" s="22"/>
      <c r="AA43" s="22"/>
      <c r="AB43" s="22"/>
      <c r="AC43" s="22"/>
      <c r="AD43" s="22"/>
    </row>
    <row r="44" spans="1:30" ht="23.25" customHeight="1">
      <c r="B44" s="22"/>
      <c r="C44" s="22"/>
      <c r="D44" s="22"/>
      <c r="E44" s="28"/>
      <c r="F44" s="28"/>
      <c r="G44" s="22"/>
      <c r="H44" s="22"/>
      <c r="I44" s="22"/>
      <c r="J44" s="22"/>
      <c r="K44" s="22"/>
      <c r="L44" s="22"/>
      <c r="M44" s="22"/>
      <c r="N44" s="22"/>
      <c r="O44" s="22"/>
      <c r="P44" s="22"/>
      <c r="Q44" s="22"/>
      <c r="R44" s="22"/>
      <c r="S44" s="22"/>
      <c r="T44" s="22"/>
      <c r="U44" s="22"/>
      <c r="V44" s="22"/>
      <c r="W44" s="22"/>
      <c r="X44" s="22"/>
      <c r="Y44" s="22"/>
      <c r="Z44" s="22"/>
      <c r="AA44" s="22"/>
      <c r="AB44" s="22"/>
      <c r="AC44" s="22"/>
      <c r="AD44" s="22"/>
    </row>
    <row r="45" spans="1:30" ht="24" customHeight="1" thickBot="1">
      <c r="A45" s="138" t="s">
        <v>663</v>
      </c>
      <c r="B45" s="139"/>
      <c r="C45" s="21"/>
      <c r="D45" s="21"/>
      <c r="E45" s="133"/>
      <c r="F45" s="133"/>
      <c r="G45" s="34"/>
      <c r="H45" s="22"/>
      <c r="I45" s="22"/>
      <c r="J45" s="22"/>
      <c r="K45" s="22"/>
      <c r="L45" s="22"/>
      <c r="M45" s="22"/>
      <c r="N45" s="22"/>
      <c r="O45" s="22"/>
      <c r="P45" s="22"/>
      <c r="Q45" s="22"/>
      <c r="R45" s="22"/>
      <c r="S45" s="22"/>
      <c r="T45" s="22"/>
      <c r="U45" s="22"/>
      <c r="V45" s="22"/>
      <c r="W45" s="22"/>
      <c r="X45" s="22"/>
      <c r="Y45" s="22"/>
      <c r="Z45" s="22"/>
      <c r="AA45" s="22"/>
      <c r="AB45" s="22"/>
      <c r="AC45" s="22"/>
      <c r="AD45" s="22"/>
    </row>
    <row r="46" spans="1:30" ht="40" customHeight="1">
      <c r="A46" s="273" t="s">
        <v>7</v>
      </c>
      <c r="B46" s="291" t="s">
        <v>127</v>
      </c>
      <c r="C46" s="291" t="s">
        <v>571</v>
      </c>
      <c r="D46" s="291" t="s">
        <v>141</v>
      </c>
      <c r="E46" s="291" t="s">
        <v>142</v>
      </c>
      <c r="F46" s="348" t="s">
        <v>126</v>
      </c>
      <c r="G46" s="34"/>
      <c r="H46" s="22"/>
      <c r="I46" s="22"/>
      <c r="J46" s="22"/>
      <c r="K46" s="22"/>
      <c r="L46" s="22"/>
      <c r="M46" s="22"/>
      <c r="N46" s="22"/>
      <c r="O46" s="22"/>
      <c r="P46" s="22"/>
      <c r="Q46" s="22"/>
      <c r="R46" s="22"/>
      <c r="S46" s="22"/>
      <c r="T46" s="22"/>
      <c r="U46" s="22"/>
      <c r="V46" s="22"/>
      <c r="W46" s="22"/>
      <c r="X46" s="22"/>
      <c r="Y46" s="22"/>
      <c r="Z46" s="22"/>
      <c r="AA46" s="22"/>
      <c r="AB46" s="22"/>
      <c r="AC46" s="22"/>
      <c r="AD46" s="22"/>
    </row>
    <row r="47" spans="1:30" ht="55" customHeight="1">
      <c r="A47" s="293" t="s">
        <v>680</v>
      </c>
      <c r="B47" s="251" t="s">
        <v>681</v>
      </c>
      <c r="C47" s="333"/>
      <c r="D47" s="333"/>
      <c r="E47" s="281" t="str">
        <f>IF(D47=B97,0.5, IF(D47=C97,0,""))</f>
        <v/>
      </c>
      <c r="F47" s="295" t="s">
        <v>132</v>
      </c>
      <c r="G47" s="34"/>
      <c r="H47" s="22"/>
      <c r="I47" s="22"/>
      <c r="J47" s="22"/>
      <c r="K47" s="22"/>
      <c r="L47" s="22"/>
      <c r="M47" s="22"/>
      <c r="N47" s="22"/>
      <c r="O47" s="22"/>
      <c r="P47" s="22"/>
      <c r="Q47" s="22"/>
      <c r="R47" s="22"/>
      <c r="S47" s="22"/>
      <c r="T47" s="22"/>
      <c r="U47" s="22"/>
      <c r="V47" s="22"/>
      <c r="W47" s="22"/>
      <c r="X47" s="22"/>
      <c r="Y47" s="22"/>
      <c r="Z47" s="22"/>
      <c r="AA47" s="22"/>
      <c r="AB47" s="22"/>
      <c r="AC47" s="22"/>
      <c r="AD47" s="22"/>
    </row>
    <row r="48" spans="1:30" ht="71.25" customHeight="1">
      <c r="A48" s="572" t="s">
        <v>682</v>
      </c>
      <c r="B48" s="377" t="s">
        <v>683</v>
      </c>
      <c r="C48" s="333"/>
      <c r="D48" s="333"/>
      <c r="E48" s="294" t="str">
        <f>IF(D48=B98,1,IF(D48=C98,0.5,IF(D48=D98,0,"")))</f>
        <v/>
      </c>
      <c r="F48" s="295" t="s">
        <v>132</v>
      </c>
      <c r="G48" s="22"/>
      <c r="H48" s="22"/>
      <c r="I48" s="22"/>
      <c r="J48" s="22"/>
      <c r="K48" s="22"/>
      <c r="L48" s="22"/>
      <c r="M48" s="22"/>
      <c r="N48" s="22"/>
      <c r="O48" s="22"/>
      <c r="P48" s="22"/>
      <c r="Q48" s="22"/>
      <c r="R48" s="22"/>
      <c r="S48" s="22"/>
      <c r="T48" s="22"/>
      <c r="U48" s="22"/>
      <c r="V48" s="22"/>
      <c r="W48" s="22"/>
      <c r="X48" s="22"/>
      <c r="Y48" s="22"/>
      <c r="Z48" s="22"/>
      <c r="AA48" s="22"/>
      <c r="AB48" s="22"/>
      <c r="AC48" s="22"/>
      <c r="AD48" s="22"/>
    </row>
    <row r="49" spans="1:30" ht="72.75" customHeight="1" thickBot="1">
      <c r="A49" s="590"/>
      <c r="B49" s="380" t="s">
        <v>1533</v>
      </c>
      <c r="C49" s="311"/>
      <c r="D49" s="365"/>
      <c r="E49" s="301" t="str">
        <f>IF(D49=B99,0.5,IF(D49=C99,0,""))</f>
        <v/>
      </c>
      <c r="F49" s="299" t="s">
        <v>132</v>
      </c>
      <c r="G49" s="22"/>
      <c r="H49" s="22"/>
      <c r="I49" s="22"/>
      <c r="J49" s="22"/>
      <c r="K49" s="22"/>
      <c r="L49" s="22"/>
      <c r="M49" s="22"/>
      <c r="N49" s="22"/>
      <c r="O49" s="22"/>
      <c r="P49" s="22"/>
      <c r="Q49" s="22"/>
      <c r="R49" s="22"/>
      <c r="S49" s="22"/>
      <c r="T49" s="22"/>
      <c r="U49" s="22"/>
      <c r="V49" s="22"/>
      <c r="W49" s="22"/>
      <c r="X49" s="22"/>
      <c r="Y49" s="22"/>
      <c r="Z49" s="22"/>
      <c r="AA49" s="22"/>
      <c r="AB49" s="22"/>
      <c r="AC49" s="22"/>
      <c r="AD49" s="22"/>
    </row>
    <row r="50" spans="1:30" s="61" customFormat="1" ht="50.5" customHeight="1" thickBot="1">
      <c r="A50" s="144"/>
      <c r="B50" s="22"/>
      <c r="C50" s="22"/>
      <c r="D50" s="22"/>
      <c r="E50" s="28"/>
      <c r="F50" s="28"/>
      <c r="G50" s="22"/>
      <c r="H50" s="22"/>
      <c r="I50" s="22"/>
      <c r="J50" s="22"/>
      <c r="K50" s="22"/>
      <c r="L50" s="22"/>
      <c r="M50" s="22"/>
      <c r="N50" s="22"/>
      <c r="O50" s="22"/>
      <c r="P50" s="22"/>
      <c r="Q50" s="22"/>
      <c r="R50" s="22"/>
      <c r="S50" s="22"/>
      <c r="T50" s="22"/>
      <c r="U50" s="22"/>
      <c r="V50" s="22"/>
      <c r="W50" s="22"/>
      <c r="X50" s="22"/>
      <c r="Y50" s="22"/>
      <c r="Z50" s="22"/>
      <c r="AA50" s="22"/>
      <c r="AB50" s="22"/>
      <c r="AC50" s="22"/>
      <c r="AD50" s="22"/>
    </row>
    <row r="51" spans="1:30" s="22" customFormat="1" ht="30.75" customHeight="1" thickBot="1">
      <c r="A51" s="144"/>
      <c r="D51" s="497" t="s">
        <v>175</v>
      </c>
      <c r="E51" s="492">
        <f>SUM(E24:E24,E28:E29,E33:E33,E38:E43,E47:E49)</f>
        <v>0</v>
      </c>
      <c r="F51" s="28"/>
    </row>
    <row r="52" spans="1:30" s="145" customFormat="1" ht="30" customHeight="1">
      <c r="A52" s="140" t="s">
        <v>6</v>
      </c>
      <c r="B52" s="144"/>
      <c r="C52" s="144"/>
      <c r="D52" s="144"/>
      <c r="E52" s="151"/>
      <c r="F52" s="151"/>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row>
    <row r="53" spans="1:30" ht="60" customHeight="1">
      <c r="A53" s="143"/>
      <c r="B53" s="30"/>
      <c r="C53" s="26"/>
      <c r="D53" s="27"/>
      <c r="E53" s="28"/>
      <c r="F53" s="28"/>
      <c r="G53" s="22"/>
      <c r="H53" s="22"/>
      <c r="I53" s="22"/>
      <c r="J53" s="22"/>
      <c r="K53" s="22"/>
      <c r="L53" s="22"/>
      <c r="M53" s="22"/>
      <c r="N53" s="22"/>
      <c r="O53" s="22"/>
      <c r="P53" s="22"/>
      <c r="Q53" s="22"/>
      <c r="R53" s="22"/>
      <c r="S53" s="22"/>
      <c r="T53" s="22"/>
      <c r="U53" s="22"/>
      <c r="V53" s="22"/>
      <c r="W53" s="22"/>
      <c r="X53" s="22"/>
      <c r="Y53" s="22"/>
      <c r="Z53" s="22"/>
      <c r="AA53" s="22"/>
      <c r="AB53" s="22"/>
      <c r="AC53" s="22"/>
      <c r="AD53" s="22"/>
    </row>
    <row r="54" spans="1:30" ht="23.5" customHeight="1">
      <c r="A54" s="144"/>
      <c r="B54" s="21"/>
      <c r="C54" s="21"/>
      <c r="D54" s="21"/>
      <c r="E54" s="21"/>
      <c r="F54" s="21"/>
      <c r="G54" s="29"/>
      <c r="H54" s="29"/>
      <c r="I54" s="29"/>
      <c r="J54" s="29"/>
      <c r="K54" s="29"/>
      <c r="L54" s="29"/>
      <c r="M54" s="22"/>
      <c r="N54" s="22"/>
      <c r="O54" s="22"/>
      <c r="P54" s="22"/>
      <c r="Q54" s="22"/>
      <c r="R54" s="22"/>
      <c r="S54" s="22"/>
      <c r="T54" s="22"/>
      <c r="U54" s="22"/>
      <c r="V54" s="22"/>
      <c r="W54" s="22"/>
      <c r="X54" s="22"/>
      <c r="Y54" s="22"/>
      <c r="Z54" s="22"/>
      <c r="AA54" s="22"/>
      <c r="AB54" s="22"/>
      <c r="AC54" s="22"/>
      <c r="AD54" s="22"/>
    </row>
    <row r="55" spans="1:30" ht="52.5" customHeight="1">
      <c r="A55" s="143"/>
      <c r="B55" s="29"/>
      <c r="C55" s="29"/>
      <c r="D55" s="29"/>
      <c r="E55" s="29"/>
      <c r="F55" s="35"/>
      <c r="G55" s="29"/>
      <c r="H55" s="29"/>
      <c r="I55" s="29"/>
      <c r="J55" s="29"/>
      <c r="K55" s="29"/>
      <c r="L55" s="29"/>
      <c r="M55" s="22"/>
      <c r="N55" s="22"/>
      <c r="O55" s="22"/>
      <c r="P55" s="22"/>
      <c r="Q55" s="22"/>
      <c r="R55" s="22"/>
      <c r="S55" s="22"/>
      <c r="T55" s="22"/>
      <c r="U55" s="22"/>
      <c r="V55" s="22"/>
      <c r="W55" s="22"/>
      <c r="X55" s="22"/>
      <c r="Y55" s="22"/>
      <c r="Z55" s="22"/>
      <c r="AA55" s="22"/>
      <c r="AB55" s="22"/>
      <c r="AC55" s="22"/>
      <c r="AD55" s="22"/>
    </row>
    <row r="56" spans="1:30">
      <c r="A56" s="143"/>
      <c r="B56" s="29"/>
      <c r="C56" s="29"/>
      <c r="D56" s="29"/>
      <c r="E56" s="29"/>
      <c r="F56" s="29"/>
      <c r="G56" s="29"/>
      <c r="H56" s="29"/>
      <c r="I56" s="29"/>
      <c r="J56" s="29"/>
      <c r="K56" s="29"/>
      <c r="L56" s="29"/>
      <c r="M56" s="22"/>
      <c r="N56" s="22"/>
      <c r="O56" s="22"/>
      <c r="P56" s="22"/>
      <c r="Q56" s="22"/>
      <c r="R56" s="22"/>
      <c r="S56" s="22"/>
      <c r="T56" s="22"/>
      <c r="U56" s="22"/>
      <c r="V56" s="22"/>
      <c r="W56" s="22"/>
      <c r="X56" s="22"/>
      <c r="Y56" s="22"/>
      <c r="Z56" s="22"/>
      <c r="AA56" s="22"/>
      <c r="AB56" s="22"/>
      <c r="AC56" s="22"/>
      <c r="AD56" s="22"/>
    </row>
    <row r="57" spans="1:30">
      <c r="A57" s="143"/>
      <c r="B57" s="29"/>
      <c r="C57" s="29"/>
      <c r="D57" s="29"/>
      <c r="E57" s="29"/>
      <c r="F57" s="29"/>
      <c r="G57" s="29"/>
      <c r="H57" s="29"/>
      <c r="I57" s="29"/>
      <c r="J57" s="29"/>
      <c r="K57" s="29"/>
      <c r="L57" s="29"/>
      <c r="M57" s="22"/>
      <c r="N57" s="22"/>
      <c r="O57" s="22"/>
      <c r="P57" s="22"/>
      <c r="Q57" s="22"/>
      <c r="R57" s="22"/>
      <c r="S57" s="22"/>
      <c r="T57" s="22"/>
      <c r="U57" s="22"/>
      <c r="V57" s="22"/>
      <c r="W57" s="22"/>
      <c r="X57" s="22"/>
      <c r="Y57" s="22"/>
      <c r="Z57" s="22"/>
      <c r="AA57" s="22"/>
      <c r="AB57" s="22"/>
      <c r="AC57" s="22"/>
      <c r="AD57" s="22"/>
    </row>
    <row r="58" spans="1:30">
      <c r="A58" s="143" t="s">
        <v>172</v>
      </c>
      <c r="B58" s="29" t="s">
        <v>684</v>
      </c>
      <c r="C58" s="29"/>
      <c r="D58" s="29"/>
      <c r="E58" s="29"/>
      <c r="F58" s="29"/>
      <c r="G58" s="29"/>
      <c r="H58" s="29"/>
      <c r="I58" s="29"/>
      <c r="J58" s="29"/>
      <c r="K58" s="29"/>
      <c r="L58" s="29"/>
      <c r="M58" s="22"/>
      <c r="N58" s="22"/>
      <c r="O58" s="22"/>
      <c r="P58" s="22"/>
      <c r="Q58" s="22"/>
      <c r="R58" s="22"/>
      <c r="S58" s="22"/>
      <c r="T58" s="22"/>
      <c r="U58" s="22"/>
      <c r="V58" s="22"/>
      <c r="W58" s="22"/>
      <c r="X58" s="22"/>
      <c r="Y58" s="22"/>
      <c r="Z58" s="22"/>
      <c r="AA58" s="22"/>
      <c r="AB58" s="22"/>
      <c r="AC58" s="22"/>
      <c r="AD58" s="22"/>
    </row>
    <row r="59" spans="1:30">
      <c r="A59" s="144"/>
      <c r="B59" s="22"/>
      <c r="C59" s="29"/>
      <c r="D59" s="29"/>
      <c r="E59" s="29"/>
      <c r="F59" s="29"/>
      <c r="G59" s="29"/>
      <c r="H59" s="29"/>
      <c r="I59" s="29"/>
      <c r="J59" s="29"/>
      <c r="K59" s="29"/>
      <c r="L59" s="29"/>
      <c r="M59" s="22"/>
      <c r="N59" s="22"/>
      <c r="O59" s="22"/>
      <c r="P59" s="22"/>
      <c r="Q59" s="22"/>
      <c r="R59" s="22"/>
      <c r="S59" s="22"/>
      <c r="T59" s="22"/>
      <c r="U59" s="22"/>
      <c r="V59" s="22"/>
      <c r="W59" s="22"/>
      <c r="X59" s="22"/>
      <c r="Y59" s="22"/>
      <c r="Z59" s="22"/>
      <c r="AA59" s="22"/>
      <c r="AB59" s="22"/>
      <c r="AC59" s="22"/>
      <c r="AD59" s="22"/>
    </row>
    <row r="60" spans="1:30">
      <c r="A60" s="144"/>
      <c r="B60" s="22"/>
      <c r="C60" s="29"/>
      <c r="D60" s="29"/>
      <c r="E60" s="29"/>
      <c r="F60" s="29"/>
      <c r="G60" s="29"/>
      <c r="H60" s="29"/>
      <c r="I60" s="29"/>
      <c r="J60" s="29"/>
      <c r="K60" s="29"/>
      <c r="L60" s="29"/>
      <c r="M60" s="22"/>
      <c r="N60" s="22"/>
      <c r="O60" s="22"/>
      <c r="P60" s="22"/>
      <c r="Q60" s="22"/>
      <c r="R60" s="22"/>
      <c r="S60" s="22"/>
      <c r="T60" s="22"/>
      <c r="U60" s="22"/>
      <c r="V60" s="22"/>
      <c r="W60" s="22"/>
      <c r="X60" s="22"/>
      <c r="Y60" s="22"/>
      <c r="Z60" s="22"/>
      <c r="AA60" s="22"/>
      <c r="AB60" s="22"/>
      <c r="AC60" s="22"/>
      <c r="AD60" s="22"/>
    </row>
    <row r="61" spans="1:30" s="22" customFormat="1">
      <c r="A61" s="144"/>
      <c r="C61" s="29"/>
      <c r="D61" s="29"/>
      <c r="E61" s="29"/>
      <c r="F61" s="29"/>
      <c r="G61" s="29"/>
      <c r="H61" s="29"/>
      <c r="I61" s="29"/>
      <c r="J61" s="29"/>
      <c r="K61" s="29"/>
      <c r="L61" s="29"/>
    </row>
    <row r="62" spans="1:30" s="22" customFormat="1">
      <c r="A62" s="523" t="s">
        <v>173</v>
      </c>
      <c r="B62" s="117" t="s">
        <v>685</v>
      </c>
      <c r="C62" s="117"/>
      <c r="D62" s="117"/>
      <c r="E62" s="117"/>
      <c r="F62" s="117"/>
      <c r="G62" s="96"/>
    </row>
    <row r="63" spans="1:30" s="22" customFormat="1">
      <c r="A63" s="463"/>
      <c r="B63" s="96"/>
      <c r="C63" s="117"/>
      <c r="D63" s="117"/>
      <c r="E63" s="117"/>
      <c r="F63" s="117"/>
      <c r="G63" s="96"/>
    </row>
    <row r="64" spans="1:30">
      <c r="A64" s="463"/>
      <c r="B64" s="96"/>
      <c r="C64" s="117"/>
      <c r="D64" s="117"/>
      <c r="E64" s="117"/>
      <c r="F64" s="117"/>
      <c r="G64" s="96"/>
      <c r="H64" s="22"/>
      <c r="I64" s="22"/>
      <c r="J64" s="22"/>
      <c r="K64" s="22"/>
      <c r="L64" s="22"/>
      <c r="M64" s="22"/>
      <c r="N64" s="22"/>
      <c r="O64" s="22"/>
      <c r="P64" s="22"/>
      <c r="Q64" s="22"/>
      <c r="R64" s="22"/>
      <c r="S64" s="22"/>
      <c r="T64" s="22"/>
      <c r="U64" s="22"/>
      <c r="V64" s="22"/>
      <c r="W64" s="22"/>
      <c r="X64" s="22"/>
      <c r="Y64" s="22"/>
      <c r="Z64" s="22"/>
      <c r="AA64" s="22"/>
      <c r="AB64" s="22"/>
      <c r="AC64" s="22"/>
      <c r="AD64" s="22"/>
    </row>
    <row r="65" spans="1:30">
      <c r="A65" s="463"/>
      <c r="B65" s="96"/>
      <c r="C65" s="117"/>
      <c r="D65" s="117"/>
      <c r="E65" s="117"/>
      <c r="F65" s="117"/>
      <c r="G65" s="96"/>
      <c r="H65" s="22"/>
      <c r="I65" s="22"/>
      <c r="J65" s="22"/>
      <c r="K65" s="22"/>
      <c r="L65" s="22"/>
      <c r="M65" s="22"/>
      <c r="N65" s="22"/>
      <c r="O65" s="22"/>
      <c r="P65" s="22"/>
      <c r="Q65" s="22"/>
      <c r="R65" s="22"/>
      <c r="S65" s="22"/>
      <c r="T65" s="22"/>
      <c r="U65" s="22"/>
      <c r="V65" s="22"/>
      <c r="W65" s="22"/>
      <c r="X65" s="22"/>
      <c r="Y65" s="22"/>
      <c r="Z65" s="22"/>
      <c r="AA65" s="22"/>
      <c r="AB65" s="22"/>
      <c r="AC65" s="22"/>
      <c r="AD65" s="22"/>
    </row>
    <row r="66" spans="1:30">
      <c r="A66" s="463"/>
      <c r="B66" s="96"/>
      <c r="C66" s="117"/>
      <c r="D66" s="117"/>
      <c r="E66" s="117"/>
      <c r="F66" s="117"/>
      <c r="G66" s="96"/>
      <c r="H66" s="22"/>
      <c r="I66" s="22"/>
      <c r="J66" s="22"/>
      <c r="K66" s="22"/>
      <c r="L66" s="22"/>
      <c r="M66" s="22"/>
      <c r="N66" s="22"/>
      <c r="O66" s="22"/>
      <c r="P66" s="22"/>
      <c r="Q66" s="22"/>
      <c r="R66" s="22"/>
      <c r="S66" s="22"/>
      <c r="T66" s="22"/>
      <c r="U66" s="22"/>
      <c r="V66" s="22"/>
      <c r="W66" s="22"/>
      <c r="X66" s="22"/>
      <c r="Y66" s="22"/>
      <c r="Z66" s="22"/>
      <c r="AA66" s="22"/>
      <c r="AB66" s="22"/>
      <c r="AC66" s="22"/>
      <c r="AD66" s="22"/>
    </row>
    <row r="67" spans="1:30">
      <c r="A67" s="463"/>
      <c r="B67" s="96"/>
      <c r="C67" s="117"/>
      <c r="D67" s="117"/>
      <c r="E67" s="117"/>
      <c r="F67" s="117"/>
      <c r="G67" s="96"/>
      <c r="H67" s="22"/>
      <c r="I67" s="22"/>
      <c r="J67" s="22"/>
      <c r="K67" s="22"/>
      <c r="L67" s="22"/>
      <c r="M67" s="22"/>
      <c r="N67" s="22"/>
      <c r="O67" s="22"/>
      <c r="P67" s="22"/>
      <c r="Q67" s="22"/>
      <c r="R67" s="22"/>
      <c r="S67" s="22"/>
      <c r="T67" s="22"/>
      <c r="U67" s="22"/>
      <c r="V67" s="22"/>
      <c r="W67" s="22"/>
      <c r="X67" s="22"/>
      <c r="Y67" s="22"/>
      <c r="Z67" s="22"/>
      <c r="AA67" s="22"/>
      <c r="AB67" s="22"/>
      <c r="AC67" s="22"/>
      <c r="AD67" s="22"/>
    </row>
    <row r="68" spans="1:30">
      <c r="A68" s="523" t="s">
        <v>174</v>
      </c>
      <c r="B68" s="117" t="s">
        <v>686</v>
      </c>
      <c r="C68" s="117"/>
      <c r="D68" s="117"/>
      <c r="E68" s="117"/>
      <c r="F68" s="117"/>
      <c r="G68" s="96"/>
      <c r="H68" s="22"/>
      <c r="I68" s="22"/>
      <c r="J68" s="22"/>
      <c r="K68" s="22"/>
      <c r="L68" s="22"/>
      <c r="M68" s="22"/>
      <c r="N68" s="22"/>
      <c r="O68" s="22"/>
      <c r="P68" s="22"/>
      <c r="Q68" s="22"/>
      <c r="R68" s="22"/>
      <c r="S68" s="22"/>
      <c r="T68" s="22"/>
      <c r="U68" s="22"/>
      <c r="V68" s="22"/>
      <c r="W68" s="22"/>
      <c r="X68" s="22"/>
      <c r="Y68" s="22"/>
      <c r="Z68" s="22"/>
      <c r="AA68" s="22"/>
      <c r="AB68" s="22"/>
      <c r="AC68" s="22"/>
      <c r="AD68" s="22"/>
    </row>
    <row r="69" spans="1:30">
      <c r="A69" s="463"/>
      <c r="B69" s="96"/>
      <c r="C69" s="117"/>
      <c r="D69" s="117"/>
      <c r="E69" s="117"/>
      <c r="F69" s="117"/>
      <c r="G69" s="96"/>
      <c r="H69" s="22"/>
      <c r="I69" s="22"/>
      <c r="J69" s="22"/>
      <c r="K69" s="22"/>
      <c r="L69" s="22"/>
      <c r="M69" s="22"/>
      <c r="N69" s="22"/>
      <c r="O69" s="22"/>
      <c r="P69" s="22"/>
      <c r="Q69" s="22"/>
      <c r="R69" s="22"/>
      <c r="S69" s="22"/>
      <c r="T69" s="22"/>
      <c r="U69" s="22"/>
      <c r="V69" s="22"/>
      <c r="W69" s="22"/>
      <c r="X69" s="22"/>
      <c r="Y69" s="22"/>
      <c r="Z69" s="22"/>
      <c r="AA69" s="22"/>
      <c r="AB69" s="22"/>
      <c r="AC69" s="22"/>
      <c r="AD69" s="22"/>
    </row>
    <row r="70" spans="1:30">
      <c r="A70" s="463"/>
      <c r="B70" s="96"/>
      <c r="C70" s="117"/>
      <c r="D70" s="117"/>
      <c r="E70" s="117"/>
      <c r="F70" s="117"/>
      <c r="G70" s="96"/>
      <c r="H70" s="22"/>
      <c r="I70" s="22"/>
      <c r="J70" s="22"/>
      <c r="K70" s="22"/>
      <c r="L70" s="22"/>
      <c r="M70" s="22"/>
      <c r="N70" s="22"/>
      <c r="O70" s="22"/>
      <c r="P70" s="22"/>
      <c r="Q70" s="22"/>
      <c r="R70" s="22"/>
      <c r="S70" s="22"/>
      <c r="T70" s="22"/>
      <c r="U70" s="22"/>
      <c r="V70" s="22"/>
      <c r="W70" s="22"/>
      <c r="X70" s="22"/>
      <c r="Y70" s="22"/>
      <c r="Z70" s="22"/>
      <c r="AA70" s="22"/>
      <c r="AB70" s="22"/>
      <c r="AC70" s="22"/>
      <c r="AD70" s="22"/>
    </row>
    <row r="71" spans="1:30">
      <c r="A71" s="463"/>
      <c r="B71" s="96"/>
      <c r="C71" s="117"/>
      <c r="D71" s="117"/>
      <c r="E71" s="117"/>
      <c r="F71" s="117"/>
      <c r="G71" s="96"/>
      <c r="H71" s="22"/>
      <c r="I71" s="22"/>
      <c r="J71" s="22"/>
      <c r="K71" s="22"/>
      <c r="L71" s="22"/>
      <c r="M71" s="22"/>
      <c r="N71" s="22"/>
      <c r="O71" s="22"/>
      <c r="P71" s="22"/>
      <c r="Q71" s="22"/>
      <c r="R71" s="22"/>
      <c r="S71" s="22"/>
      <c r="T71" s="22"/>
      <c r="U71" s="22"/>
      <c r="V71" s="22"/>
      <c r="W71" s="22"/>
      <c r="X71" s="22"/>
      <c r="Y71" s="22"/>
      <c r="Z71" s="22"/>
      <c r="AA71" s="22"/>
      <c r="AB71" s="22"/>
      <c r="AC71" s="22"/>
      <c r="AD71" s="22"/>
    </row>
    <row r="72" spans="1:30">
      <c r="A72" s="463"/>
      <c r="B72" s="240"/>
      <c r="C72" s="241"/>
      <c r="D72" s="241"/>
      <c r="E72" s="241"/>
      <c r="F72" s="241"/>
      <c r="G72" s="96"/>
      <c r="H72" s="22"/>
      <c r="I72" s="22"/>
      <c r="J72" s="22"/>
      <c r="K72" s="22"/>
      <c r="L72" s="22"/>
      <c r="M72" s="22"/>
      <c r="N72" s="22"/>
      <c r="O72" s="22"/>
      <c r="P72" s="22"/>
      <c r="Q72" s="22"/>
      <c r="R72" s="22"/>
      <c r="S72" s="22"/>
      <c r="T72" s="22"/>
      <c r="U72" s="22"/>
      <c r="V72" s="22"/>
      <c r="W72" s="22"/>
      <c r="X72" s="22"/>
      <c r="Y72" s="22"/>
      <c r="Z72" s="22"/>
      <c r="AA72" s="22"/>
      <c r="AB72" s="22"/>
      <c r="AC72" s="22"/>
      <c r="AD72" s="22"/>
    </row>
    <row r="73" spans="1:30" ht="15" customHeight="1">
      <c r="A73" s="463"/>
      <c r="B73" s="34"/>
      <c r="C73" s="245"/>
      <c r="D73" s="245"/>
      <c r="E73" s="245"/>
      <c r="F73" s="245"/>
      <c r="G73" s="96"/>
      <c r="H73" s="22"/>
      <c r="I73" s="22"/>
      <c r="J73" s="22"/>
      <c r="K73" s="22"/>
      <c r="L73" s="22"/>
      <c r="M73" s="22"/>
      <c r="N73" s="22"/>
      <c r="O73" s="22"/>
      <c r="P73" s="22"/>
      <c r="Q73" s="22"/>
      <c r="R73" s="22"/>
      <c r="S73" s="22"/>
      <c r="T73" s="22"/>
      <c r="U73" s="22"/>
      <c r="V73" s="22"/>
      <c r="W73" s="22"/>
      <c r="X73" s="22"/>
      <c r="Y73" s="22"/>
      <c r="Z73" s="22"/>
      <c r="AA73" s="22"/>
      <c r="AB73" s="22"/>
      <c r="AC73" s="22"/>
      <c r="AD73" s="22"/>
    </row>
    <row r="74" spans="1:30">
      <c r="A74" s="463"/>
      <c r="B74" s="34"/>
      <c r="C74" s="245"/>
      <c r="D74" s="245"/>
      <c r="E74" s="245"/>
      <c r="F74" s="245"/>
      <c r="G74" s="96"/>
      <c r="H74" s="22"/>
      <c r="I74" s="22"/>
      <c r="J74" s="22"/>
      <c r="K74" s="22"/>
      <c r="L74" s="22"/>
      <c r="M74" s="22"/>
      <c r="N74" s="22"/>
      <c r="O74" s="22"/>
      <c r="P74" s="22"/>
      <c r="Q74" s="22"/>
      <c r="R74" s="22"/>
      <c r="S74" s="22"/>
      <c r="T74" s="22"/>
      <c r="U74" s="22"/>
      <c r="V74" s="22"/>
      <c r="W74" s="22"/>
      <c r="X74" s="22"/>
      <c r="Y74" s="22"/>
      <c r="Z74" s="22"/>
      <c r="AA74" s="22"/>
      <c r="AB74" s="22"/>
      <c r="AC74" s="22"/>
      <c r="AD74" s="22"/>
    </row>
    <row r="75" spans="1:30" hidden="1">
      <c r="A75" s="524" t="s">
        <v>176</v>
      </c>
      <c r="B75" s="34"/>
      <c r="C75" s="245"/>
      <c r="D75" s="245"/>
      <c r="E75" s="245"/>
      <c r="F75" s="245"/>
      <c r="G75" s="96"/>
      <c r="H75" s="22"/>
      <c r="I75" s="22"/>
      <c r="J75" s="22"/>
      <c r="K75" s="22"/>
      <c r="L75" s="22"/>
      <c r="M75" s="22"/>
      <c r="N75" s="22"/>
      <c r="O75" s="22"/>
      <c r="P75" s="22"/>
      <c r="Q75" s="22"/>
      <c r="R75" s="22"/>
      <c r="S75" s="22"/>
      <c r="T75" s="22"/>
      <c r="U75" s="22"/>
      <c r="V75" s="22"/>
      <c r="W75" s="22"/>
      <c r="X75" s="22"/>
      <c r="Y75" s="22"/>
      <c r="Z75" s="22"/>
      <c r="AA75" s="22"/>
      <c r="AB75" s="22"/>
      <c r="AC75" s="22"/>
      <c r="AD75" s="22"/>
    </row>
    <row r="76" spans="1:30" hidden="1">
      <c r="A76" s="463"/>
      <c r="B76" s="34"/>
      <c r="C76" s="34"/>
      <c r="D76" s="34"/>
      <c r="E76" s="34"/>
      <c r="F76" s="34"/>
      <c r="G76" s="96"/>
      <c r="H76" s="22"/>
      <c r="I76" s="22"/>
      <c r="J76" s="22"/>
      <c r="K76" s="22"/>
      <c r="L76" s="22"/>
      <c r="M76" s="22"/>
      <c r="N76" s="22"/>
      <c r="O76" s="22"/>
      <c r="P76" s="22"/>
      <c r="Q76" s="22"/>
      <c r="R76" s="22"/>
      <c r="S76" s="22"/>
      <c r="T76" s="22"/>
      <c r="U76" s="22"/>
      <c r="V76" s="22"/>
      <c r="W76" s="22"/>
      <c r="X76" s="22"/>
      <c r="Y76" s="22"/>
      <c r="Z76" s="22"/>
      <c r="AA76" s="22"/>
      <c r="AB76" s="22"/>
      <c r="AC76" s="22"/>
      <c r="AD76" s="22"/>
    </row>
    <row r="77" spans="1:30" hidden="1">
      <c r="A77" s="525" t="s">
        <v>687</v>
      </c>
      <c r="B77" s="34"/>
      <c r="C77" s="34"/>
      <c r="D77" s="34"/>
      <c r="E77" s="34"/>
      <c r="F77" s="34"/>
      <c r="G77" s="96"/>
      <c r="H77" s="22"/>
      <c r="I77" s="22"/>
      <c r="J77" s="22"/>
      <c r="K77" s="22"/>
      <c r="L77" s="22"/>
      <c r="M77" s="22"/>
      <c r="N77" s="22"/>
      <c r="O77" s="22"/>
      <c r="P77" s="22"/>
      <c r="Q77" s="22"/>
      <c r="R77" s="22"/>
      <c r="S77" s="22"/>
      <c r="T77" s="22"/>
      <c r="U77" s="22"/>
      <c r="V77" s="22"/>
      <c r="W77" s="22"/>
      <c r="X77" s="22"/>
      <c r="Y77" s="22"/>
      <c r="Z77" s="22"/>
      <c r="AA77" s="22"/>
      <c r="AB77" s="22"/>
      <c r="AC77" s="22"/>
      <c r="AD77" s="22"/>
    </row>
    <row r="78" spans="1:30" hidden="1">
      <c r="A78" s="463" t="s">
        <v>688</v>
      </c>
      <c r="B78" s="246" t="s">
        <v>179</v>
      </c>
      <c r="C78" s="246" t="s">
        <v>180</v>
      </c>
      <c r="D78" s="246" t="s">
        <v>181</v>
      </c>
      <c r="E78" s="246" t="s">
        <v>182</v>
      </c>
      <c r="F78" s="34"/>
      <c r="G78" s="96"/>
      <c r="H78" s="22"/>
      <c r="I78" s="22"/>
      <c r="J78" s="22"/>
      <c r="K78" s="22"/>
      <c r="L78" s="22"/>
      <c r="M78" s="22"/>
      <c r="N78" s="22"/>
      <c r="O78" s="22"/>
      <c r="P78" s="22"/>
      <c r="Q78" s="22"/>
      <c r="R78" s="22"/>
      <c r="S78" s="22"/>
      <c r="T78" s="22"/>
      <c r="U78" s="22"/>
      <c r="V78" s="22"/>
      <c r="W78" s="22"/>
      <c r="X78" s="22"/>
      <c r="Y78" s="22"/>
      <c r="Z78" s="22"/>
      <c r="AA78" s="22"/>
      <c r="AB78" s="22"/>
      <c r="AC78" s="22"/>
      <c r="AD78" s="22"/>
    </row>
    <row r="79" spans="1:30" hidden="1">
      <c r="A79" s="525" t="s">
        <v>184</v>
      </c>
      <c r="B79" s="246" t="s">
        <v>16</v>
      </c>
      <c r="C79" s="246" t="s">
        <v>14</v>
      </c>
      <c r="D79" s="246"/>
      <c r="E79" s="246"/>
      <c r="F79" s="34"/>
      <c r="G79" s="96"/>
      <c r="H79" s="22"/>
      <c r="I79" s="22"/>
      <c r="J79" s="22"/>
      <c r="K79" s="22"/>
      <c r="L79" s="22"/>
      <c r="M79" s="22"/>
      <c r="N79" s="22"/>
      <c r="O79" s="22"/>
      <c r="P79" s="22"/>
      <c r="Q79" s="22"/>
      <c r="R79" s="22"/>
      <c r="S79" s="22"/>
      <c r="T79" s="22"/>
      <c r="U79" s="22"/>
      <c r="V79" s="22"/>
      <c r="W79" s="22"/>
      <c r="X79" s="22"/>
      <c r="Y79" s="22"/>
      <c r="Z79" s="22"/>
      <c r="AA79" s="22"/>
      <c r="AB79" s="22"/>
      <c r="AC79" s="22"/>
      <c r="AD79" s="22"/>
    </row>
    <row r="80" spans="1:30" hidden="1">
      <c r="A80" s="525" t="s">
        <v>689</v>
      </c>
      <c r="B80" s="246" t="s">
        <v>16</v>
      </c>
      <c r="C80" s="246" t="s">
        <v>14</v>
      </c>
      <c r="D80" s="246"/>
      <c r="E80" s="246"/>
      <c r="F80" s="34"/>
      <c r="G80" s="96"/>
      <c r="H80" s="22"/>
      <c r="I80" s="22"/>
      <c r="J80" s="22"/>
      <c r="K80" s="22"/>
      <c r="L80" s="22"/>
      <c r="M80" s="22"/>
      <c r="N80" s="22"/>
      <c r="O80" s="22"/>
      <c r="P80" s="22"/>
      <c r="Q80" s="22"/>
      <c r="R80" s="22"/>
      <c r="S80" s="22"/>
      <c r="T80" s="22"/>
      <c r="U80" s="22"/>
      <c r="V80" s="22"/>
      <c r="W80" s="22"/>
      <c r="X80" s="22"/>
      <c r="Y80" s="22"/>
      <c r="Z80" s="22"/>
      <c r="AA80" s="22"/>
      <c r="AB80" s="22"/>
      <c r="AC80" s="22"/>
      <c r="AD80" s="22"/>
    </row>
    <row r="81" spans="1:30" hidden="1">
      <c r="A81" s="525" t="s">
        <v>690</v>
      </c>
      <c r="B81" s="246" t="s">
        <v>16</v>
      </c>
      <c r="C81" s="246" t="s">
        <v>14</v>
      </c>
      <c r="D81" s="246"/>
      <c r="E81" s="246"/>
      <c r="F81" s="34"/>
      <c r="G81" s="96"/>
      <c r="H81" s="22"/>
      <c r="I81" s="22"/>
      <c r="J81" s="22"/>
      <c r="K81" s="22"/>
      <c r="L81" s="22"/>
      <c r="M81" s="22"/>
      <c r="N81" s="22"/>
      <c r="O81" s="22"/>
      <c r="P81" s="22"/>
      <c r="Q81" s="22"/>
      <c r="R81" s="22"/>
      <c r="S81" s="22"/>
      <c r="T81" s="22"/>
      <c r="U81" s="22"/>
      <c r="V81" s="22"/>
      <c r="W81" s="22"/>
      <c r="X81" s="22"/>
      <c r="Y81" s="22"/>
      <c r="Z81" s="22"/>
      <c r="AA81" s="22"/>
      <c r="AB81" s="22"/>
      <c r="AC81" s="22"/>
      <c r="AD81" s="22"/>
    </row>
    <row r="82" spans="1:30" hidden="1">
      <c r="A82" s="526" t="s">
        <v>185</v>
      </c>
      <c r="B82" s="247"/>
      <c r="C82" s="247"/>
      <c r="D82" s="247"/>
      <c r="E82" s="247"/>
      <c r="F82" s="34"/>
      <c r="G82" s="96"/>
      <c r="H82" s="22"/>
      <c r="I82" s="22"/>
      <c r="J82" s="22"/>
      <c r="K82" s="22"/>
      <c r="L82" s="22"/>
      <c r="M82" s="22"/>
      <c r="N82" s="22"/>
      <c r="O82" s="22"/>
      <c r="P82" s="22"/>
      <c r="Q82" s="22"/>
      <c r="R82" s="22"/>
      <c r="S82" s="22"/>
      <c r="T82" s="22"/>
      <c r="U82" s="22"/>
      <c r="V82" s="22"/>
      <c r="W82" s="22"/>
      <c r="X82" s="22"/>
      <c r="Y82" s="22"/>
      <c r="Z82" s="22"/>
      <c r="AA82" s="22"/>
      <c r="AB82" s="22"/>
      <c r="AC82" s="22"/>
      <c r="AD82" s="22"/>
    </row>
    <row r="83" spans="1:30" ht="29" hidden="1">
      <c r="A83" s="525" t="s">
        <v>195</v>
      </c>
      <c r="B83" s="250" t="s">
        <v>691</v>
      </c>
      <c r="C83" s="250" t="s">
        <v>1556</v>
      </c>
      <c r="D83" s="250" t="s">
        <v>692</v>
      </c>
      <c r="E83" s="246"/>
      <c r="F83" s="34"/>
      <c r="G83" s="96"/>
      <c r="H83" s="22"/>
      <c r="I83" s="22"/>
      <c r="J83" s="22"/>
      <c r="K83" s="22"/>
      <c r="L83" s="22"/>
      <c r="M83" s="22"/>
      <c r="N83" s="22"/>
      <c r="O83" s="22"/>
      <c r="P83" s="22"/>
      <c r="Q83" s="22"/>
      <c r="R83" s="22"/>
      <c r="S83" s="22"/>
      <c r="T83" s="22"/>
      <c r="U83" s="22"/>
      <c r="V83" s="22"/>
      <c r="W83" s="22"/>
      <c r="X83" s="22"/>
      <c r="Y83" s="22"/>
      <c r="Z83" s="22"/>
      <c r="AA83" s="22"/>
      <c r="AB83" s="22"/>
      <c r="AC83" s="22"/>
      <c r="AD83" s="22"/>
    </row>
    <row r="84" spans="1:30" hidden="1">
      <c r="A84" s="526" t="s">
        <v>186</v>
      </c>
      <c r="B84" s="247"/>
      <c r="C84" s="247"/>
      <c r="D84" s="247"/>
      <c r="E84" s="247"/>
      <c r="F84" s="34"/>
      <c r="G84" s="96"/>
      <c r="H84" s="22"/>
      <c r="I84" s="22"/>
      <c r="J84" s="22"/>
      <c r="K84" s="22"/>
      <c r="L84" s="22"/>
      <c r="M84" s="22"/>
      <c r="N84" s="22"/>
      <c r="O84" s="22"/>
      <c r="P84" s="22"/>
      <c r="Q84" s="22"/>
      <c r="R84" s="22"/>
      <c r="S84" s="22"/>
      <c r="T84" s="22"/>
      <c r="U84" s="22"/>
      <c r="V84" s="22"/>
      <c r="W84" s="22"/>
      <c r="X84" s="22"/>
      <c r="Y84" s="22"/>
      <c r="Z84" s="22"/>
      <c r="AA84" s="22"/>
      <c r="AB84" s="22"/>
      <c r="AC84" s="22"/>
      <c r="AD84" s="22"/>
    </row>
    <row r="85" spans="1:30" ht="29" hidden="1">
      <c r="A85" s="525" t="s">
        <v>200</v>
      </c>
      <c r="B85" s="246" t="s">
        <v>693</v>
      </c>
      <c r="C85" s="250" t="s">
        <v>694</v>
      </c>
      <c r="D85" s="250" t="s">
        <v>695</v>
      </c>
      <c r="E85" s="246"/>
      <c r="F85" s="34"/>
      <c r="G85" s="96"/>
      <c r="H85" s="22"/>
      <c r="I85" s="22"/>
      <c r="J85" s="22"/>
      <c r="K85" s="22"/>
      <c r="L85" s="22"/>
      <c r="M85" s="22"/>
      <c r="N85" s="22"/>
      <c r="O85" s="22"/>
      <c r="P85" s="22"/>
      <c r="Q85" s="22"/>
      <c r="R85" s="22"/>
      <c r="S85" s="22"/>
      <c r="T85" s="22"/>
      <c r="U85" s="22"/>
      <c r="V85" s="22"/>
      <c r="W85" s="22"/>
      <c r="X85" s="22"/>
      <c r="Y85" s="22"/>
      <c r="Z85" s="22"/>
      <c r="AA85" s="22"/>
      <c r="AB85" s="22"/>
      <c r="AC85" s="22"/>
      <c r="AD85" s="22"/>
    </row>
    <row r="86" spans="1:30" ht="43.5" hidden="1">
      <c r="A86" s="525" t="s">
        <v>204</v>
      </c>
      <c r="B86" s="246" t="s">
        <v>696</v>
      </c>
      <c r="C86" s="246" t="s">
        <v>1557</v>
      </c>
      <c r="D86" s="246" t="s">
        <v>1558</v>
      </c>
      <c r="E86" s="246"/>
      <c r="F86" s="34"/>
      <c r="G86" s="96"/>
      <c r="H86" s="22"/>
      <c r="I86" s="22"/>
      <c r="J86" s="22"/>
      <c r="K86" s="22"/>
      <c r="L86" s="22"/>
      <c r="M86" s="22"/>
      <c r="N86" s="22"/>
      <c r="O86" s="22"/>
      <c r="P86" s="22"/>
      <c r="Q86" s="22"/>
      <c r="R86" s="22"/>
      <c r="S86" s="22"/>
      <c r="T86" s="22"/>
      <c r="U86" s="22"/>
      <c r="V86" s="22"/>
      <c r="W86" s="22"/>
      <c r="X86" s="22"/>
      <c r="Y86" s="22"/>
      <c r="Z86" s="22"/>
      <c r="AA86" s="22"/>
      <c r="AB86" s="22"/>
      <c r="AC86" s="22"/>
      <c r="AD86" s="22"/>
    </row>
    <row r="87" spans="1:30" hidden="1">
      <c r="A87" s="526" t="s">
        <v>673</v>
      </c>
      <c r="B87" s="247"/>
      <c r="C87" s="247"/>
      <c r="D87" s="247"/>
      <c r="E87" s="247"/>
      <c r="F87" s="34"/>
      <c r="G87" s="96"/>
      <c r="H87" s="22"/>
      <c r="I87" s="22"/>
      <c r="J87" s="22"/>
      <c r="K87" s="22"/>
      <c r="L87" s="22"/>
      <c r="M87" s="22"/>
      <c r="N87" s="22"/>
      <c r="O87" s="22"/>
      <c r="P87" s="22"/>
      <c r="Q87" s="22"/>
      <c r="R87" s="22"/>
      <c r="S87" s="22"/>
      <c r="T87" s="22"/>
      <c r="U87" s="22"/>
      <c r="V87" s="22"/>
      <c r="W87" s="22"/>
      <c r="X87" s="22"/>
      <c r="Y87" s="22"/>
      <c r="Z87" s="22"/>
      <c r="AA87" s="22"/>
      <c r="AB87" s="22"/>
      <c r="AC87" s="22"/>
      <c r="AD87" s="22"/>
    </row>
    <row r="88" spans="1:30" ht="29" hidden="1">
      <c r="A88" s="525" t="s">
        <v>209</v>
      </c>
      <c r="B88" s="250" t="s">
        <v>697</v>
      </c>
      <c r="C88" s="250" t="s">
        <v>698</v>
      </c>
      <c r="D88" s="250" t="s">
        <v>699</v>
      </c>
      <c r="E88" s="246"/>
      <c r="F88" s="34"/>
      <c r="G88" s="96"/>
      <c r="H88" s="22"/>
      <c r="I88" s="22"/>
      <c r="J88" s="22"/>
      <c r="K88" s="22"/>
      <c r="L88" s="22"/>
      <c r="M88" s="22"/>
      <c r="N88" s="22"/>
      <c r="O88" s="22"/>
      <c r="P88" s="22"/>
      <c r="Q88" s="22"/>
      <c r="R88" s="22"/>
      <c r="S88" s="22"/>
      <c r="T88" s="22"/>
      <c r="U88" s="22"/>
      <c r="V88" s="22"/>
      <c r="W88" s="22"/>
      <c r="X88" s="22"/>
      <c r="Y88" s="22"/>
      <c r="Z88" s="22"/>
      <c r="AA88" s="22"/>
      <c r="AB88" s="22"/>
      <c r="AC88" s="22"/>
      <c r="AD88" s="22"/>
    </row>
    <row r="89" spans="1:30" hidden="1">
      <c r="A89" s="526" t="s">
        <v>700</v>
      </c>
      <c r="B89" s="247"/>
      <c r="C89" s="247"/>
      <c r="D89" s="247"/>
      <c r="E89" s="247"/>
      <c r="F89" s="34"/>
      <c r="G89" s="96"/>
      <c r="H89" s="22"/>
      <c r="I89" s="22"/>
      <c r="J89" s="22"/>
      <c r="K89" s="22"/>
      <c r="L89" s="22"/>
      <c r="M89" s="22"/>
      <c r="N89" s="22"/>
      <c r="O89" s="22"/>
      <c r="P89" s="22"/>
      <c r="Q89" s="22"/>
      <c r="R89" s="22"/>
      <c r="S89" s="22"/>
      <c r="T89" s="22"/>
      <c r="U89" s="22"/>
      <c r="V89" s="22"/>
      <c r="W89" s="22"/>
      <c r="X89" s="22"/>
      <c r="Y89" s="22"/>
      <c r="Z89" s="22"/>
      <c r="AA89" s="22"/>
      <c r="AB89" s="22"/>
      <c r="AC89" s="22"/>
      <c r="AD89" s="22"/>
    </row>
    <row r="90" spans="1:30" ht="29" hidden="1">
      <c r="A90" s="525" t="s">
        <v>359</v>
      </c>
      <c r="B90" s="250" t="s">
        <v>701</v>
      </c>
      <c r="C90" s="250" t="s">
        <v>1559</v>
      </c>
      <c r="D90" s="246"/>
      <c r="E90" s="246"/>
      <c r="F90" s="34"/>
      <c r="G90" s="96"/>
      <c r="H90" s="22"/>
      <c r="I90" s="22"/>
      <c r="J90" s="22"/>
      <c r="K90" s="22"/>
      <c r="L90" s="22"/>
      <c r="M90" s="22"/>
      <c r="N90" s="22"/>
      <c r="O90" s="22"/>
      <c r="P90" s="22"/>
      <c r="Q90" s="22"/>
      <c r="R90" s="22"/>
      <c r="S90" s="22"/>
      <c r="T90" s="22"/>
      <c r="U90" s="22"/>
      <c r="V90" s="22"/>
      <c r="W90" s="22"/>
      <c r="X90" s="22"/>
      <c r="Y90" s="22"/>
      <c r="Z90" s="22"/>
      <c r="AA90" s="22"/>
      <c r="AB90" s="22"/>
      <c r="AC90" s="22"/>
      <c r="AD90" s="22"/>
    </row>
    <row r="91" spans="1:30" ht="29" hidden="1">
      <c r="A91" s="525" t="s">
        <v>362</v>
      </c>
      <c r="B91" s="250" t="s">
        <v>702</v>
      </c>
      <c r="C91" s="250" t="s">
        <v>703</v>
      </c>
      <c r="D91" s="246"/>
      <c r="E91" s="246"/>
      <c r="F91" s="34"/>
      <c r="G91" s="96"/>
      <c r="H91" s="22"/>
      <c r="I91" s="22"/>
      <c r="J91" s="22"/>
      <c r="K91" s="22"/>
      <c r="L91" s="22"/>
      <c r="M91" s="22"/>
      <c r="N91" s="22"/>
      <c r="O91" s="22"/>
      <c r="P91" s="22"/>
      <c r="Q91" s="22"/>
      <c r="R91" s="22"/>
      <c r="S91" s="22"/>
      <c r="T91" s="22"/>
      <c r="U91" s="22"/>
      <c r="V91" s="22"/>
      <c r="W91" s="22"/>
      <c r="X91" s="22"/>
      <c r="Y91" s="22"/>
      <c r="Z91" s="22"/>
      <c r="AA91" s="22"/>
      <c r="AB91" s="22"/>
      <c r="AC91" s="22"/>
      <c r="AD91" s="22"/>
    </row>
    <row r="92" spans="1:30" ht="29" hidden="1">
      <c r="A92" s="463" t="s">
        <v>629</v>
      </c>
      <c r="B92" s="246" t="s">
        <v>704</v>
      </c>
      <c r="C92" s="246" t="s">
        <v>705</v>
      </c>
      <c r="D92" s="246"/>
      <c r="E92" s="246"/>
      <c r="F92" s="34"/>
      <c r="G92" s="96"/>
      <c r="H92" s="22"/>
      <c r="I92" s="22"/>
      <c r="J92" s="22"/>
      <c r="K92" s="22"/>
      <c r="L92" s="22"/>
      <c r="M92" s="22"/>
      <c r="N92" s="22"/>
      <c r="O92" s="22"/>
      <c r="P92" s="22"/>
      <c r="Q92" s="22"/>
      <c r="R92" s="22"/>
      <c r="S92" s="22"/>
      <c r="T92" s="22"/>
      <c r="U92" s="22"/>
      <c r="V92" s="22"/>
      <c r="W92" s="22"/>
      <c r="X92" s="22"/>
      <c r="Y92" s="22"/>
      <c r="Z92" s="22"/>
      <c r="AA92" s="22"/>
      <c r="AB92" s="22"/>
      <c r="AC92" s="22"/>
      <c r="AD92" s="22"/>
    </row>
    <row r="93" spans="1:30" hidden="1">
      <c r="A93" s="463" t="s">
        <v>366</v>
      </c>
      <c r="B93" s="250" t="s">
        <v>706</v>
      </c>
      <c r="C93" s="250" t="s">
        <v>707</v>
      </c>
      <c r="D93" s="250" t="s">
        <v>708</v>
      </c>
      <c r="E93" s="246"/>
      <c r="F93" s="34"/>
      <c r="G93" s="96"/>
      <c r="H93" s="22"/>
      <c r="I93" s="22"/>
      <c r="J93" s="22"/>
      <c r="K93" s="22"/>
      <c r="L93" s="22"/>
      <c r="M93" s="22"/>
      <c r="N93" s="22"/>
      <c r="O93" s="22"/>
      <c r="P93" s="22"/>
      <c r="Q93" s="22"/>
      <c r="R93" s="22"/>
      <c r="S93" s="22"/>
      <c r="T93" s="22"/>
      <c r="U93" s="22"/>
      <c r="V93" s="22"/>
      <c r="W93" s="22"/>
      <c r="X93" s="22"/>
      <c r="Y93" s="22"/>
      <c r="Z93" s="22"/>
      <c r="AA93" s="22"/>
      <c r="AB93" s="22"/>
      <c r="AC93" s="22"/>
      <c r="AD93" s="22"/>
    </row>
    <row r="94" spans="1:30" ht="58" hidden="1">
      <c r="A94" s="463" t="s">
        <v>369</v>
      </c>
      <c r="B94" s="250" t="s">
        <v>1531</v>
      </c>
      <c r="C94" s="250" t="s">
        <v>1532</v>
      </c>
      <c r="D94" s="246"/>
      <c r="E94" s="246"/>
      <c r="F94" s="34"/>
      <c r="G94" s="96"/>
      <c r="H94" s="22"/>
      <c r="I94" s="22"/>
      <c r="J94" s="22"/>
      <c r="K94" s="22"/>
      <c r="L94" s="22"/>
      <c r="M94" s="22"/>
      <c r="N94" s="22"/>
      <c r="O94" s="22"/>
      <c r="P94" s="22"/>
      <c r="Q94" s="22"/>
      <c r="R94" s="22"/>
      <c r="S94" s="22"/>
      <c r="T94" s="22"/>
      <c r="U94" s="22"/>
      <c r="V94" s="22"/>
      <c r="W94" s="22"/>
      <c r="X94" s="22"/>
      <c r="Y94" s="22"/>
      <c r="Z94" s="22"/>
      <c r="AA94" s="22"/>
      <c r="AB94" s="22"/>
      <c r="AC94" s="22"/>
      <c r="AD94" s="22"/>
    </row>
    <row r="95" spans="1:30" ht="43.5" hidden="1">
      <c r="A95" s="463" t="s">
        <v>373</v>
      </c>
      <c r="B95" s="250" t="s">
        <v>709</v>
      </c>
      <c r="C95" s="250" t="s">
        <v>1560</v>
      </c>
      <c r="D95" s="250" t="s">
        <v>710</v>
      </c>
      <c r="E95" s="246"/>
      <c r="F95" s="34"/>
      <c r="G95" s="96"/>
      <c r="H95" s="22"/>
      <c r="I95" s="22"/>
      <c r="J95" s="22"/>
      <c r="K95" s="22"/>
      <c r="L95" s="22"/>
      <c r="M95" s="22"/>
      <c r="N95" s="22"/>
      <c r="O95" s="22"/>
      <c r="P95" s="22"/>
      <c r="Q95" s="22"/>
      <c r="R95" s="22"/>
      <c r="S95" s="22"/>
      <c r="T95" s="22"/>
      <c r="U95" s="22"/>
      <c r="V95" s="22"/>
      <c r="W95" s="22"/>
      <c r="X95" s="22"/>
      <c r="Y95" s="22"/>
      <c r="Z95" s="22"/>
      <c r="AA95" s="22"/>
      <c r="AB95" s="22"/>
      <c r="AC95" s="22"/>
      <c r="AD95" s="22"/>
    </row>
    <row r="96" spans="1:30" hidden="1">
      <c r="A96" s="526" t="s">
        <v>711</v>
      </c>
      <c r="B96" s="247"/>
      <c r="C96" s="247"/>
      <c r="D96" s="247"/>
      <c r="E96" s="247"/>
      <c r="F96" s="34"/>
      <c r="G96" s="96"/>
      <c r="H96" s="22"/>
      <c r="I96" s="22"/>
      <c r="J96" s="22"/>
      <c r="K96" s="22"/>
      <c r="L96" s="22"/>
      <c r="M96" s="22"/>
      <c r="N96" s="22"/>
      <c r="O96" s="22"/>
      <c r="P96" s="22"/>
      <c r="Q96" s="22"/>
      <c r="R96" s="22"/>
      <c r="S96" s="22"/>
      <c r="T96" s="22"/>
      <c r="U96" s="22"/>
      <c r="V96" s="22"/>
      <c r="W96" s="22"/>
      <c r="X96" s="22"/>
      <c r="Y96" s="22"/>
      <c r="Z96" s="22"/>
      <c r="AA96" s="22"/>
      <c r="AB96" s="22"/>
      <c r="AC96" s="22"/>
      <c r="AD96" s="22"/>
    </row>
    <row r="97" spans="1:36" ht="29" hidden="1">
      <c r="A97" s="463" t="s">
        <v>225</v>
      </c>
      <c r="B97" s="246" t="s">
        <v>1561</v>
      </c>
      <c r="C97" s="246" t="s">
        <v>712</v>
      </c>
      <c r="D97" s="246"/>
      <c r="E97" s="246"/>
      <c r="F97" s="34"/>
      <c r="G97" s="96"/>
      <c r="H97" s="22"/>
      <c r="I97" s="22"/>
      <c r="J97" s="22"/>
      <c r="K97" s="22"/>
      <c r="L97" s="22"/>
      <c r="M97" s="22"/>
      <c r="N97" s="22"/>
      <c r="O97" s="22"/>
      <c r="P97" s="22"/>
      <c r="Q97" s="22"/>
      <c r="R97" s="22"/>
      <c r="S97" s="22"/>
      <c r="T97" s="22"/>
      <c r="U97" s="22"/>
      <c r="V97" s="22"/>
      <c r="W97" s="22"/>
      <c r="X97" s="22"/>
      <c r="Y97" s="22"/>
      <c r="Z97" s="22"/>
      <c r="AA97" s="22"/>
      <c r="AB97" s="22"/>
      <c r="AC97" s="22"/>
      <c r="AD97" s="22"/>
    </row>
    <row r="98" spans="1:36" ht="44" hidden="1" thickBot="1">
      <c r="A98" s="463" t="s">
        <v>230</v>
      </c>
      <c r="B98" s="246" t="s">
        <v>713</v>
      </c>
      <c r="C98" s="250" t="s">
        <v>1589</v>
      </c>
      <c r="D98" s="246" t="s">
        <v>714</v>
      </c>
      <c r="E98" s="246"/>
      <c r="F98" s="34"/>
      <c r="G98" s="96"/>
      <c r="H98" s="22"/>
      <c r="I98" s="22"/>
      <c r="J98" s="22"/>
      <c r="K98" s="22"/>
      <c r="L98" s="22"/>
      <c r="M98" s="22"/>
      <c r="N98" s="22"/>
      <c r="O98" s="22"/>
      <c r="P98" s="22"/>
      <c r="Q98" s="22"/>
      <c r="R98" s="22"/>
      <c r="S98" s="22"/>
      <c r="T98" s="22"/>
      <c r="U98" s="22"/>
      <c r="V98" s="22"/>
      <c r="W98" s="22"/>
      <c r="X98" s="22"/>
      <c r="Y98" s="22"/>
      <c r="Z98" s="22"/>
      <c r="AA98" s="22"/>
      <c r="AB98" s="22"/>
      <c r="AC98" s="22"/>
      <c r="AD98" s="22"/>
    </row>
    <row r="99" spans="1:36" ht="32.5" hidden="1" customHeight="1" thickBot="1">
      <c r="A99" s="463" t="e" cm="1" vm="1">
        <f t="array" aca="1" ref="A99" ca="1">62:99</f>
        <v>#VALUE!</v>
      </c>
      <c r="B99" s="252" t="s">
        <v>715</v>
      </c>
      <c r="C99" s="252" t="s">
        <v>716</v>
      </c>
      <c r="D99" s="246"/>
      <c r="E99" s="246"/>
      <c r="F99" s="34"/>
      <c r="G99" s="96"/>
      <c r="H99" s="22"/>
      <c r="I99" s="22"/>
      <c r="J99" s="22"/>
      <c r="K99" s="22"/>
      <c r="L99" s="22"/>
      <c r="M99" s="22"/>
      <c r="N99" s="22"/>
      <c r="O99" s="22"/>
      <c r="P99" s="22"/>
      <c r="Q99" s="22"/>
      <c r="R99" s="22"/>
      <c r="S99" s="22"/>
      <c r="T99" s="22"/>
      <c r="U99" s="22"/>
      <c r="V99" s="22"/>
      <c r="W99" s="22"/>
      <c r="X99" s="22"/>
      <c r="Y99" s="22"/>
      <c r="Z99" s="22"/>
      <c r="AA99" s="22"/>
      <c r="AB99" s="22"/>
      <c r="AC99" s="22"/>
      <c r="AD99" s="22"/>
    </row>
    <row r="100" spans="1:36" ht="13.5" hidden="1" customHeight="1">
      <c r="A100" s="463"/>
      <c r="B100" s="34"/>
      <c r="C100" s="34"/>
      <c r="D100" s="34"/>
      <c r="E100" s="34"/>
      <c r="F100" s="34"/>
      <c r="G100" s="96"/>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row>
    <row r="101" spans="1:36" ht="8.5" hidden="1" customHeight="1">
      <c r="A101" s="463"/>
      <c r="B101" s="34"/>
      <c r="C101" s="34"/>
      <c r="D101" s="34"/>
      <c r="E101" s="34"/>
      <c r="F101" s="34"/>
      <c r="G101" s="96"/>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row>
    <row r="102" spans="1:36">
      <c r="A102" s="527"/>
      <c r="B102" s="243"/>
      <c r="C102" s="243"/>
      <c r="D102" s="243"/>
      <c r="E102" s="243"/>
      <c r="F102" s="243"/>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row>
    <row r="103" spans="1:36">
      <c r="A103" s="527"/>
      <c r="B103" s="243"/>
      <c r="C103" s="243"/>
      <c r="D103" s="243"/>
      <c r="E103" s="243"/>
      <c r="F103" s="243"/>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row>
    <row r="104" spans="1:36" ht="24.75" customHeight="1">
      <c r="A104" s="528"/>
      <c r="B104" s="244"/>
      <c r="C104" s="244"/>
      <c r="D104" s="244"/>
      <c r="E104" s="244"/>
      <c r="F104" s="244"/>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row>
    <row r="105" spans="1:36">
      <c r="A105" s="528"/>
      <c r="B105" s="244"/>
      <c r="C105" s="244"/>
      <c r="D105" s="244"/>
      <c r="E105" s="244"/>
      <c r="F105" s="244"/>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row>
    <row r="106" spans="1:36" ht="19.5" customHeight="1">
      <c r="A106" s="528"/>
      <c r="B106" s="244"/>
      <c r="C106" s="244"/>
      <c r="D106" s="244"/>
      <c r="E106" s="244"/>
      <c r="F106" s="244"/>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row>
    <row r="107" spans="1:36">
      <c r="A107" s="528"/>
      <c r="B107" s="244"/>
      <c r="C107" s="244"/>
      <c r="D107" s="244"/>
      <c r="E107" s="244"/>
      <c r="F107" s="244"/>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row>
    <row r="108" spans="1:36" s="37" customFormat="1">
      <c r="A108" s="528"/>
      <c r="B108" s="118"/>
      <c r="C108" s="118"/>
      <c r="D108" s="118"/>
      <c r="E108" s="118"/>
      <c r="F108" s="118"/>
      <c r="G108" s="118"/>
      <c r="H108" s="118"/>
      <c r="I108" s="118"/>
      <c r="J108" s="118"/>
      <c r="K108" s="96"/>
      <c r="L108" s="96"/>
      <c r="M108" s="96"/>
      <c r="N108" s="96"/>
      <c r="O108" s="96"/>
      <c r="P108" s="96"/>
      <c r="Q108" s="96"/>
      <c r="R108" s="96"/>
      <c r="S108" s="96"/>
      <c r="T108" s="96"/>
      <c r="U108" s="96"/>
      <c r="V108" s="96"/>
      <c r="W108" s="96"/>
      <c r="X108" s="96"/>
      <c r="Y108" s="96"/>
      <c r="Z108" s="96"/>
      <c r="AA108" s="96"/>
      <c r="AB108" s="96"/>
      <c r="AC108" s="96"/>
      <c r="AD108" s="96"/>
      <c r="AE108" s="118"/>
      <c r="AF108" s="118"/>
      <c r="AG108" s="118"/>
      <c r="AH108" s="118"/>
      <c r="AI108" s="118"/>
      <c r="AJ108" s="118"/>
    </row>
    <row r="109" spans="1:36" s="37" customFormat="1" ht="14.25" customHeight="1">
      <c r="A109" s="528"/>
      <c r="B109" s="118"/>
      <c r="C109" s="118"/>
      <c r="D109" s="118"/>
      <c r="E109" s="118"/>
      <c r="F109" s="118"/>
      <c r="G109" s="118"/>
      <c r="H109" s="118"/>
      <c r="I109" s="118"/>
      <c r="J109" s="118"/>
      <c r="K109" s="96"/>
      <c r="L109" s="96"/>
      <c r="M109" s="96"/>
      <c r="N109" s="96"/>
      <c r="O109" s="96"/>
      <c r="P109" s="96"/>
      <c r="Q109" s="96"/>
      <c r="R109" s="96"/>
      <c r="S109" s="96"/>
      <c r="T109" s="96"/>
      <c r="U109" s="96"/>
      <c r="V109" s="96"/>
      <c r="W109" s="96"/>
      <c r="X109" s="96"/>
      <c r="Y109" s="96"/>
      <c r="Z109" s="96"/>
      <c r="AA109" s="96"/>
      <c r="AB109" s="96"/>
      <c r="AC109" s="96"/>
      <c r="AD109" s="96"/>
      <c r="AE109" s="118"/>
      <c r="AF109" s="118"/>
      <c r="AG109" s="118"/>
      <c r="AH109" s="118"/>
      <c r="AI109" s="118"/>
      <c r="AJ109" s="118"/>
    </row>
    <row r="110" spans="1:36" s="37" customFormat="1">
      <c r="A110" s="528"/>
      <c r="B110" s="118"/>
      <c r="C110" s="118"/>
      <c r="D110" s="118"/>
      <c r="E110" s="118"/>
      <c r="F110" s="118"/>
      <c r="G110" s="118"/>
      <c r="H110" s="118"/>
      <c r="I110" s="118"/>
      <c r="J110" s="118"/>
      <c r="K110" s="96"/>
      <c r="L110" s="96"/>
      <c r="M110" s="96"/>
      <c r="N110" s="96"/>
      <c r="O110" s="96"/>
      <c r="P110" s="96"/>
      <c r="Q110" s="96"/>
      <c r="R110" s="96"/>
      <c r="S110" s="96"/>
      <c r="T110" s="96"/>
      <c r="U110" s="96"/>
      <c r="V110" s="96"/>
      <c r="W110" s="96"/>
      <c r="X110" s="96"/>
      <c r="Y110" s="96"/>
      <c r="Z110" s="96"/>
      <c r="AA110" s="96"/>
      <c r="AB110" s="96"/>
      <c r="AC110" s="96"/>
      <c r="AD110" s="96"/>
      <c r="AE110" s="118"/>
      <c r="AF110" s="118"/>
      <c r="AG110" s="118"/>
      <c r="AH110" s="118"/>
      <c r="AI110" s="118"/>
      <c r="AJ110" s="118"/>
    </row>
    <row r="111" spans="1:36" s="37" customFormat="1">
      <c r="A111" s="528"/>
      <c r="B111" s="118"/>
      <c r="C111" s="118"/>
      <c r="D111" s="118"/>
      <c r="E111" s="118"/>
      <c r="F111" s="118"/>
      <c r="G111" s="118"/>
      <c r="H111" s="118"/>
      <c r="I111" s="118"/>
      <c r="J111" s="118"/>
      <c r="K111" s="96"/>
      <c r="L111" s="96"/>
      <c r="M111" s="96"/>
      <c r="N111" s="96"/>
      <c r="O111" s="96"/>
      <c r="P111" s="96"/>
      <c r="Q111" s="96"/>
      <c r="R111" s="96"/>
      <c r="S111" s="96"/>
      <c r="T111" s="96"/>
      <c r="U111" s="96"/>
      <c r="V111" s="96"/>
      <c r="W111" s="96"/>
      <c r="X111" s="96"/>
      <c r="Y111" s="96"/>
      <c r="Z111" s="96"/>
      <c r="AA111" s="96"/>
      <c r="AB111" s="96"/>
      <c r="AC111" s="96"/>
      <c r="AD111" s="96"/>
      <c r="AE111" s="118"/>
      <c r="AF111" s="118"/>
      <c r="AG111" s="118"/>
      <c r="AH111" s="118"/>
      <c r="AI111" s="118"/>
      <c r="AJ111" s="118"/>
    </row>
    <row r="112" spans="1:36" s="37" customFormat="1">
      <c r="A112" s="528"/>
      <c r="B112" s="118"/>
      <c r="C112" s="118"/>
      <c r="D112" s="118"/>
      <c r="E112" s="118"/>
      <c r="F112" s="118"/>
      <c r="G112" s="118"/>
      <c r="H112" s="118"/>
      <c r="I112" s="118"/>
      <c r="J112" s="118"/>
      <c r="K112" s="96"/>
      <c r="L112" s="96"/>
      <c r="M112" s="96"/>
      <c r="N112" s="96"/>
      <c r="O112" s="96"/>
      <c r="P112" s="96"/>
      <c r="Q112" s="96"/>
      <c r="R112" s="96"/>
      <c r="S112" s="96"/>
      <c r="T112" s="96"/>
      <c r="U112" s="96"/>
      <c r="V112" s="96"/>
      <c r="W112" s="96"/>
      <c r="X112" s="96"/>
      <c r="Y112" s="96"/>
      <c r="Z112" s="96"/>
      <c r="AA112" s="96"/>
      <c r="AB112" s="96"/>
      <c r="AC112" s="96"/>
      <c r="AD112" s="96"/>
      <c r="AE112" s="118"/>
      <c r="AF112" s="118"/>
      <c r="AG112" s="118"/>
      <c r="AH112" s="118"/>
      <c r="AI112" s="118"/>
      <c r="AJ112" s="118"/>
    </row>
    <row r="113" spans="1:36" s="37" customFormat="1">
      <c r="A113" s="528"/>
      <c r="B113" s="118"/>
      <c r="C113" s="118"/>
      <c r="D113" s="118"/>
      <c r="E113" s="118"/>
      <c r="F113" s="118"/>
      <c r="G113" s="118"/>
      <c r="H113" s="118"/>
      <c r="I113" s="118"/>
      <c r="J113" s="118"/>
      <c r="K113" s="96"/>
      <c r="L113" s="96"/>
      <c r="M113" s="96"/>
      <c r="N113" s="96"/>
      <c r="O113" s="96"/>
      <c r="P113" s="96"/>
      <c r="Q113" s="96"/>
      <c r="R113" s="96"/>
      <c r="S113" s="96"/>
      <c r="T113" s="96"/>
      <c r="U113" s="96"/>
      <c r="V113" s="96"/>
      <c r="W113" s="96"/>
      <c r="X113" s="96"/>
      <c r="Y113" s="96"/>
      <c r="Z113" s="96"/>
      <c r="AA113" s="96"/>
      <c r="AB113" s="96"/>
      <c r="AC113" s="96"/>
      <c r="AD113" s="96"/>
      <c r="AE113" s="118"/>
      <c r="AF113" s="118"/>
      <c r="AG113" s="118"/>
      <c r="AH113" s="118"/>
      <c r="AI113" s="118"/>
      <c r="AJ113" s="118"/>
    </row>
    <row r="114" spans="1:36" s="37" customFormat="1">
      <c r="A114" s="528"/>
      <c r="B114" s="118"/>
      <c r="C114" s="118"/>
      <c r="D114" s="118"/>
      <c r="E114" s="118"/>
      <c r="F114" s="118"/>
      <c r="G114" s="118"/>
      <c r="H114" s="118"/>
      <c r="I114" s="118"/>
      <c r="J114" s="118"/>
      <c r="K114" s="96"/>
      <c r="L114" s="96"/>
      <c r="M114" s="96"/>
      <c r="N114" s="96"/>
      <c r="O114" s="96"/>
      <c r="P114" s="96"/>
      <c r="Q114" s="96"/>
      <c r="R114" s="96"/>
      <c r="S114" s="96"/>
      <c r="T114" s="96"/>
      <c r="U114" s="96"/>
      <c r="V114" s="96"/>
      <c r="W114" s="96"/>
      <c r="X114" s="96"/>
      <c r="Y114" s="96"/>
      <c r="Z114" s="96"/>
      <c r="AA114" s="96"/>
      <c r="AB114" s="96"/>
      <c r="AC114" s="96"/>
      <c r="AD114" s="96"/>
      <c r="AE114" s="118"/>
      <c r="AF114" s="118"/>
      <c r="AG114" s="118"/>
      <c r="AH114" s="118"/>
      <c r="AI114" s="118"/>
      <c r="AJ114" s="118"/>
    </row>
    <row r="115" spans="1:36" s="37" customFormat="1">
      <c r="A115" s="528"/>
      <c r="B115" s="118"/>
      <c r="C115" s="118"/>
      <c r="D115" s="118"/>
      <c r="E115" s="118"/>
      <c r="F115" s="118"/>
      <c r="G115" s="118"/>
      <c r="H115" s="118"/>
      <c r="I115" s="118"/>
      <c r="J115" s="118"/>
      <c r="K115" s="96"/>
      <c r="L115" s="96"/>
      <c r="M115" s="96"/>
      <c r="N115" s="96"/>
      <c r="O115" s="96"/>
      <c r="P115" s="96"/>
      <c r="Q115" s="96"/>
      <c r="R115" s="96"/>
      <c r="S115" s="96"/>
      <c r="T115" s="96"/>
      <c r="U115" s="96"/>
      <c r="V115" s="96"/>
      <c r="W115" s="96"/>
      <c r="X115" s="96"/>
      <c r="Y115" s="96"/>
      <c r="Z115" s="96"/>
      <c r="AA115" s="96"/>
      <c r="AB115" s="96"/>
      <c r="AC115" s="96"/>
      <c r="AD115" s="96"/>
      <c r="AE115" s="118"/>
      <c r="AF115" s="118"/>
      <c r="AG115" s="118"/>
      <c r="AH115" s="118"/>
      <c r="AI115" s="118"/>
      <c r="AJ115" s="118"/>
    </row>
    <row r="116" spans="1:36" s="37" customFormat="1">
      <c r="A116" s="463"/>
      <c r="B116" s="96"/>
      <c r="C116" s="96"/>
      <c r="D116" s="96"/>
      <c r="E116" s="96"/>
      <c r="F116" s="96"/>
      <c r="G116" s="118"/>
      <c r="H116" s="118"/>
      <c r="I116" s="118"/>
      <c r="J116" s="118"/>
      <c r="K116" s="96"/>
      <c r="L116" s="96"/>
      <c r="M116" s="96"/>
      <c r="N116" s="96"/>
      <c r="O116" s="96"/>
      <c r="P116" s="96"/>
      <c r="Q116" s="96"/>
      <c r="R116" s="96"/>
      <c r="S116" s="96"/>
      <c r="T116" s="96"/>
      <c r="U116" s="96"/>
      <c r="V116" s="96"/>
      <c r="W116" s="96"/>
      <c r="X116" s="96"/>
      <c r="Y116" s="96"/>
      <c r="Z116" s="96"/>
      <c r="AA116" s="96"/>
      <c r="AB116" s="96"/>
      <c r="AC116" s="96"/>
      <c r="AD116" s="96"/>
      <c r="AE116" s="118"/>
      <c r="AF116" s="118"/>
      <c r="AG116" s="118"/>
      <c r="AH116" s="118"/>
      <c r="AI116" s="118"/>
      <c r="AJ116" s="118"/>
    </row>
    <row r="117" spans="1:36" s="37" customFormat="1">
      <c r="A117" s="463"/>
      <c r="B117" s="96"/>
      <c r="C117" s="96"/>
      <c r="D117" s="96"/>
      <c r="E117" s="96"/>
      <c r="F117" s="96"/>
      <c r="G117" s="118"/>
      <c r="H117" s="118"/>
      <c r="I117" s="118"/>
      <c r="J117" s="118"/>
      <c r="K117" s="96"/>
      <c r="L117" s="96"/>
      <c r="M117" s="96"/>
      <c r="N117" s="96"/>
      <c r="O117" s="96"/>
      <c r="P117" s="96"/>
      <c r="Q117" s="96"/>
      <c r="R117" s="96"/>
      <c r="S117" s="96"/>
      <c r="T117" s="96"/>
      <c r="U117" s="96"/>
      <c r="V117" s="96"/>
      <c r="W117" s="96"/>
      <c r="X117" s="96"/>
      <c r="Y117" s="96"/>
      <c r="Z117" s="96"/>
      <c r="AA117" s="96"/>
      <c r="AB117" s="96"/>
      <c r="AC117" s="96"/>
      <c r="AD117" s="96"/>
      <c r="AE117" s="118"/>
      <c r="AF117" s="118"/>
      <c r="AG117" s="118"/>
      <c r="AH117" s="118"/>
      <c r="AI117" s="118"/>
      <c r="AJ117" s="118"/>
    </row>
    <row r="118" spans="1:36" s="37" customFormat="1">
      <c r="A118" s="463"/>
      <c r="B118" s="96"/>
      <c r="C118" s="96"/>
      <c r="D118" s="96"/>
      <c r="E118" s="96"/>
      <c r="F118" s="96"/>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row>
    <row r="119" spans="1:36" s="37" customFormat="1">
      <c r="A119" s="463"/>
      <c r="B119" s="96"/>
      <c r="C119" s="96"/>
      <c r="D119" s="96"/>
      <c r="E119" s="96"/>
      <c r="F119" s="96"/>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row>
    <row r="120" spans="1:36" s="37" customFormat="1">
      <c r="A120" s="463"/>
      <c r="B120" s="96"/>
      <c r="C120" s="96"/>
      <c r="D120" s="96"/>
      <c r="E120" s="96"/>
      <c r="F120" s="96"/>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row>
    <row r="121" spans="1:36" s="37" customFormat="1">
      <c r="A121" s="463"/>
      <c r="B121" s="96"/>
      <c r="C121" s="96"/>
      <c r="D121" s="96"/>
      <c r="E121" s="96"/>
      <c r="F121" s="96"/>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row>
    <row r="122" spans="1:36">
      <c r="A122" s="463"/>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row>
    <row r="123" spans="1:36">
      <c r="A123" s="463"/>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row>
    <row r="124" spans="1:36">
      <c r="A124" s="463"/>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row>
    <row r="125" spans="1:36">
      <c r="A125" s="463"/>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row>
    <row r="126" spans="1:36">
      <c r="A126" s="463"/>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row>
    <row r="127" spans="1:36">
      <c r="A127" s="463"/>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row>
    <row r="128" spans="1:36">
      <c r="A128" s="463"/>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row>
    <row r="129" spans="1:36">
      <c r="A129" s="463"/>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row>
    <row r="130" spans="1:36">
      <c r="A130" s="463"/>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row>
    <row r="131" spans="1:36">
      <c r="A131" s="463"/>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row>
    <row r="132" spans="1:36">
      <c r="A132" s="463"/>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row>
    <row r="133" spans="1:36">
      <c r="A133" s="463"/>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row>
    <row r="134" spans="1:36">
      <c r="A134" s="463"/>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row>
    <row r="135" spans="1:36">
      <c r="A135" s="463"/>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row>
    <row r="136" spans="1:36">
      <c r="A136" s="463"/>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row>
    <row r="137" spans="1:36">
      <c r="A137" s="463"/>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row>
    <row r="138" spans="1:36">
      <c r="A138" s="463"/>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row>
    <row r="139" spans="1:36">
      <c r="A139" s="463"/>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row>
    <row r="140" spans="1:36">
      <c r="A140" s="463"/>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row>
    <row r="141" spans="1:36">
      <c r="A141" s="463"/>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row>
    <row r="142" spans="1:36">
      <c r="A142" s="463"/>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row>
    <row r="143" spans="1:36">
      <c r="A143" s="463"/>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row>
    <row r="144" spans="1:36">
      <c r="A144" s="463"/>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row>
    <row r="145" spans="1:36">
      <c r="A145" s="463"/>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row>
    <row r="146" spans="1:36">
      <c r="A146" s="463"/>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row>
    <row r="147" spans="1:36">
      <c r="A147" s="463"/>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row>
    <row r="148" spans="1:36">
      <c r="A148" s="463"/>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row>
    <row r="149" spans="1:36">
      <c r="A149" s="463"/>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row>
    <row r="150" spans="1:36">
      <c r="A150" s="463"/>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row>
    <row r="151" spans="1:36">
      <c r="A151" s="463"/>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row>
    <row r="152" spans="1:36">
      <c r="A152" s="463"/>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row>
    <row r="153" spans="1:36">
      <c r="A153" s="463"/>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row>
    <row r="154" spans="1:36">
      <c r="A154" s="463"/>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row>
    <row r="155" spans="1:36">
      <c r="A155" s="463"/>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row>
    <row r="156" spans="1:36">
      <c r="A156" s="463"/>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row>
  </sheetData>
  <sheetProtection algorithmName="SHA-512" hashValue="wJoMNWaaHPMA5+v8X3XC5WjsBT37HVoO3FVcgKOfDSnbFALqYy9yMqKZo0WwRKYTgY/GIBthwkN9dOgKdMS93g==" saltValue="yBMgxqzbAJjXYdO2P4GlpQ==" spinCount="100000" sheet="1" objects="1" scenarios="1"/>
  <dataConsolidate link="1"/>
  <customSheetViews>
    <customSheetView guid="{52A26A5D-FD00-480B-943F-DB06B537D6D8}" scale="70" showPageBreaks="1" printArea="1" hiddenRows="1">
      <selection activeCell="C19" sqref="C19"/>
      <rowBreaks count="1" manualBreakCount="1">
        <brk id="21" max="5" man="1"/>
      </rowBreaks>
      <pageMargins left="0" right="0" top="0" bottom="0" header="0" footer="0"/>
      <pageSetup scale="45" orientation="landscape" r:id="rId1"/>
    </customSheetView>
    <customSheetView guid="{EF22FA0B-F747-41C1-93DE-56651BBC6020}" scale="90" hiddenRows="1">
      <selection activeCell="D10" sqref="D10"/>
      <rowBreaks count="1" manualBreakCount="1">
        <brk id="21" max="5" man="1"/>
      </rowBreaks>
      <pageMargins left="0" right="0" top="0" bottom="0" header="0" footer="0"/>
      <pageSetup scale="45" orientation="landscape" r:id="rId2"/>
    </customSheetView>
  </customSheetViews>
  <mergeCells count="20">
    <mergeCell ref="E20:F20"/>
    <mergeCell ref="E21:F21"/>
    <mergeCell ref="D11:F11"/>
    <mergeCell ref="E12:F12"/>
    <mergeCell ref="A48:A49"/>
    <mergeCell ref="A1:G1"/>
    <mergeCell ref="A40:A41"/>
    <mergeCell ref="B9:C9"/>
    <mergeCell ref="B8:F8"/>
    <mergeCell ref="D9:F9"/>
    <mergeCell ref="E13:F13"/>
    <mergeCell ref="E14:F14"/>
    <mergeCell ref="E15:F15"/>
    <mergeCell ref="E16:F16"/>
    <mergeCell ref="E17:F17"/>
    <mergeCell ref="E18:F18"/>
    <mergeCell ref="E19:F19"/>
    <mergeCell ref="B10:C10"/>
    <mergeCell ref="B11:C11"/>
    <mergeCell ref="D10:F10"/>
  </mergeCells>
  <dataValidations count="16">
    <dataValidation type="list" allowBlank="1" showInputMessage="1" showErrorMessage="1" sqref="D28" xr:uid="{00000000-0002-0000-0100-000000000000}">
      <formula1>$B$85:$E$85</formula1>
    </dataValidation>
    <dataValidation type="list" allowBlank="1" showInputMessage="1" showErrorMessage="1" sqref="D49" xr:uid="{00000000-0002-0000-0100-000002000000}">
      <formula1>$B$99:$D$99</formula1>
    </dataValidation>
    <dataValidation type="list" allowBlank="1" showInputMessage="1" showErrorMessage="1" sqref="D24" xr:uid="{00000000-0002-0000-0100-000004000000}">
      <formula1>$B$83:$E$83</formula1>
    </dataValidation>
    <dataValidation type="list" allowBlank="1" showInputMessage="1" showErrorMessage="1" sqref="D29" xr:uid="{00000000-0002-0000-0100-000005000000}">
      <formula1>$B$86:$E$86</formula1>
    </dataValidation>
    <dataValidation type="list" allowBlank="1" showInputMessage="1" showErrorMessage="1" sqref="D22" xr:uid="{00000000-0002-0000-0100-000009000000}">
      <formula1>$B$79:$E$79</formula1>
    </dataValidation>
    <dataValidation type="list" allowBlank="1" showInputMessage="1" showErrorMessage="1" sqref="D43" xr:uid="{00000000-0002-0000-0100-00000B000000}">
      <formula1>$B$94:$D$94</formula1>
    </dataValidation>
    <dataValidation type="list" allowBlank="1" showInputMessage="1" showErrorMessage="1" sqref="D41" xr:uid="{00000000-0002-0000-0100-00000E000000}">
      <formula1>$B$93:$E$93</formula1>
    </dataValidation>
    <dataValidation type="list" allowBlank="1" showInputMessage="1" showErrorMessage="1" sqref="D47" xr:uid="{00000000-0002-0000-0100-00000F000000}">
      <formula1>$B$97:$D$97</formula1>
    </dataValidation>
    <dataValidation type="list" allowBlank="1" showInputMessage="1" showErrorMessage="1" sqref="D33" xr:uid="{8C1A41D5-F4AE-4096-9AC3-C540A1E70C27}">
      <formula1>$B$88:$E$88</formula1>
    </dataValidation>
    <dataValidation type="list" allowBlank="1" showInputMessage="1" showErrorMessage="1" sqref="D10:F10" xr:uid="{480979D2-6B9B-48A2-94AA-38FFA6BD7457}">
      <formula1>$B$80:$D$80</formula1>
    </dataValidation>
    <dataValidation type="list" allowBlank="1" showInputMessage="1" showErrorMessage="1" sqref="D9:F9 D11:F11" xr:uid="{4768D298-029D-4549-A169-2833B9FF4472}">
      <formula1>$B$79:$D$79</formula1>
    </dataValidation>
    <dataValidation type="list" allowBlank="1" showInputMessage="1" showErrorMessage="1" sqref="D42" xr:uid="{BED246B5-149E-4E61-8C3F-1A395763E114}">
      <formula1>$B$95:$E$95</formula1>
    </dataValidation>
    <dataValidation type="list" allowBlank="1" showInputMessage="1" showErrorMessage="1" sqref="D40" xr:uid="{00000000-0002-0000-0100-00000D000000}">
      <formula1>$B$92:$D$92</formula1>
    </dataValidation>
    <dataValidation type="list" allowBlank="1" showInputMessage="1" showErrorMessage="1" sqref="D39" xr:uid="{00000000-0002-0000-0100-000007000000}">
      <formula1>$B$91:$D$91</formula1>
    </dataValidation>
    <dataValidation type="list" allowBlank="1" showInputMessage="1" showErrorMessage="1" sqref="D38" xr:uid="{00000000-0002-0000-0100-00000A000000}">
      <formula1>$B$90:$D$90</formula1>
    </dataValidation>
    <dataValidation type="list" allowBlank="1" showInputMessage="1" showErrorMessage="1" sqref="D48" xr:uid="{00000000-0002-0000-0100-000001000000}">
      <formula1>$B$98:$E$98</formula1>
    </dataValidation>
  </dataValidations>
  <hyperlinks>
    <hyperlink ref="G20" r:id="rId3" xr:uid="{DFD0E602-183A-48CF-B2E1-AEBFD7A7B905}"/>
  </hyperlinks>
  <pageMargins left="0.7" right="0.7" top="0.75" bottom="0.75" header="0.3" footer="0.3"/>
  <pageSetup scale="45" orientation="landscape" r:id="rId4"/>
  <rowBreaks count="1" manualBreakCount="1">
    <brk id="53" max="5" man="1"/>
  </rowBreaks>
  <drawing r:id="rId5"/>
  <legacyDrawing r:id="rId6"/>
  <tableParts count="1">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1"/>
  <dimension ref="A1:AK302"/>
  <sheetViews>
    <sheetView zoomScale="70" zoomScaleNormal="70" workbookViewId="0"/>
  </sheetViews>
  <sheetFormatPr defaultColWidth="8.81640625" defaultRowHeight="14.5"/>
  <cols>
    <col min="1" max="1" width="10.81640625" style="144" customWidth="1"/>
    <col min="2" max="2" width="66.54296875" style="145" customWidth="1"/>
    <col min="3" max="3" width="20.1796875" style="145" customWidth="1"/>
    <col min="4" max="4" width="19.453125" style="145" customWidth="1"/>
    <col min="5" max="5" width="17.81640625" style="145" customWidth="1"/>
    <col min="6" max="7" width="9.26953125" style="145" customWidth="1"/>
    <col min="8" max="11" width="9.1796875" style="144"/>
    <col min="12" max="14" width="9.1796875" style="22" customWidth="1"/>
    <col min="15" max="16" width="27.81640625" style="22" bestFit="1" customWidth="1"/>
    <col min="17" max="17" width="26.26953125" bestFit="1" customWidth="1"/>
    <col min="18" max="18" width="9.26953125" bestFit="1" customWidth="1"/>
    <col min="19" max="19" width="25.1796875" bestFit="1" customWidth="1"/>
    <col min="20" max="20" width="14.26953125" bestFit="1" customWidth="1"/>
    <col min="31" max="37" width="9.1796875" style="96"/>
  </cols>
  <sheetData>
    <row r="1" spans="1:37" s="22" customFormat="1" ht="32.25" customHeight="1">
      <c r="A1" s="144"/>
      <c r="B1" s="617" t="s">
        <v>717</v>
      </c>
      <c r="C1" s="617"/>
      <c r="D1" s="617"/>
      <c r="E1" s="617"/>
      <c r="F1" s="228"/>
      <c r="G1" s="144"/>
      <c r="H1" s="144"/>
      <c r="I1" s="144"/>
      <c r="J1" s="144"/>
      <c r="K1" s="144"/>
      <c r="L1" s="144"/>
      <c r="AE1" s="96"/>
      <c r="AF1" s="96"/>
      <c r="AG1" s="96"/>
      <c r="AH1" s="96"/>
      <c r="AI1" s="96"/>
      <c r="AJ1" s="96"/>
      <c r="AK1" s="96"/>
    </row>
    <row r="2" spans="1:37" ht="14.25" customHeight="1">
      <c r="B2" s="144"/>
      <c r="C2" s="144"/>
      <c r="D2" s="144"/>
      <c r="E2" s="144"/>
      <c r="F2" s="144"/>
      <c r="G2" s="144"/>
      <c r="L2" s="144"/>
      <c r="Q2" s="22"/>
      <c r="R2" s="22"/>
      <c r="S2" s="22"/>
      <c r="T2" s="22"/>
      <c r="U2" s="22"/>
      <c r="V2" s="22"/>
      <c r="W2" s="22"/>
      <c r="X2" s="22"/>
      <c r="Y2" s="22"/>
      <c r="Z2" s="22"/>
      <c r="AA2" s="22"/>
      <c r="AB2" s="22"/>
      <c r="AC2" s="22"/>
      <c r="AD2" s="22"/>
    </row>
    <row r="3" spans="1:37" ht="14.25" customHeight="1">
      <c r="B3" s="144"/>
      <c r="C3" s="144"/>
      <c r="D3" s="144"/>
      <c r="E3" s="144"/>
      <c r="F3" s="144"/>
      <c r="G3" s="144"/>
      <c r="L3" s="144"/>
      <c r="Q3" s="22"/>
      <c r="R3" s="22"/>
      <c r="S3" s="22"/>
      <c r="T3" s="22"/>
      <c r="U3" s="22"/>
      <c r="V3" s="22"/>
      <c r="W3" s="22"/>
      <c r="X3" s="22"/>
      <c r="Y3" s="22"/>
      <c r="Z3" s="22"/>
      <c r="AA3" s="22"/>
      <c r="AB3" s="22"/>
      <c r="AC3" s="22"/>
      <c r="AD3" s="22"/>
    </row>
    <row r="4" spans="1:37" ht="14.25" customHeight="1">
      <c r="B4" s="144"/>
      <c r="C4" s="144"/>
      <c r="D4" s="144"/>
      <c r="E4" s="144"/>
      <c r="F4" s="144"/>
      <c r="G4" s="144"/>
      <c r="L4" s="144"/>
      <c r="Q4" s="22"/>
      <c r="R4" s="22"/>
      <c r="S4" s="22"/>
      <c r="T4" s="22"/>
      <c r="U4" s="22"/>
      <c r="V4" s="22"/>
      <c r="W4" s="22"/>
      <c r="X4" s="22"/>
      <c r="Y4" s="22"/>
      <c r="Z4" s="22"/>
      <c r="AA4" s="22"/>
      <c r="AB4" s="22"/>
      <c r="AC4" s="22"/>
      <c r="AD4" s="22"/>
    </row>
    <row r="5" spans="1:37" ht="14.25" customHeight="1">
      <c r="B5" s="144"/>
      <c r="C5" s="144"/>
      <c r="D5" s="144"/>
      <c r="E5" s="144"/>
      <c r="F5" s="144"/>
      <c r="G5" s="144"/>
      <c r="L5" s="229"/>
      <c r="Q5" s="22"/>
      <c r="R5" s="22"/>
      <c r="S5" s="22"/>
      <c r="T5" s="22"/>
      <c r="U5" s="22"/>
      <c r="V5" s="22"/>
      <c r="W5" s="22"/>
      <c r="X5" s="22"/>
      <c r="Y5" s="22"/>
      <c r="Z5" s="22"/>
      <c r="AA5" s="22"/>
      <c r="AB5" s="22"/>
      <c r="AC5" s="22"/>
      <c r="AD5" s="22"/>
    </row>
    <row r="6" spans="1:37" ht="14.25" customHeight="1">
      <c r="B6" s="144"/>
      <c r="C6" s="144"/>
      <c r="D6" s="144"/>
      <c r="E6" s="144"/>
      <c r="F6" s="144"/>
      <c r="G6" s="144"/>
      <c r="L6" s="144"/>
      <c r="Q6" s="22"/>
      <c r="R6" s="22"/>
      <c r="S6" s="22"/>
      <c r="T6" s="22"/>
      <c r="U6" s="22"/>
      <c r="V6" s="22"/>
      <c r="W6" s="22"/>
      <c r="X6" s="22"/>
      <c r="Y6" s="22"/>
      <c r="Z6" s="22"/>
      <c r="AA6" s="22"/>
      <c r="AB6" s="22"/>
      <c r="AC6" s="22"/>
      <c r="AD6" s="22"/>
    </row>
    <row r="7" spans="1:37" ht="14.25" customHeight="1">
      <c r="B7" s="144"/>
      <c r="C7" s="144"/>
      <c r="D7" s="144"/>
      <c r="E7" s="144"/>
      <c r="F7" s="144"/>
      <c r="G7" s="144"/>
      <c r="L7" s="144"/>
      <c r="Q7" s="22"/>
      <c r="R7" s="22"/>
      <c r="S7" s="22"/>
      <c r="T7" s="22"/>
      <c r="U7" s="22"/>
      <c r="V7" s="22"/>
      <c r="W7" s="22"/>
      <c r="X7" s="22"/>
      <c r="Y7" s="22"/>
      <c r="Z7" s="22"/>
      <c r="AA7" s="22"/>
      <c r="AB7" s="22"/>
      <c r="AC7" s="22"/>
      <c r="AD7" s="22"/>
    </row>
    <row r="8" spans="1:37" ht="14.25" customHeight="1">
      <c r="B8" s="144"/>
      <c r="C8" s="144"/>
      <c r="D8" s="144"/>
      <c r="E8" s="144"/>
      <c r="F8" s="144"/>
      <c r="G8" s="144"/>
      <c r="L8" s="144"/>
      <c r="Q8" s="22"/>
      <c r="R8" s="22"/>
      <c r="S8" s="22"/>
      <c r="T8" s="22"/>
      <c r="U8" s="22"/>
      <c r="V8" s="22"/>
      <c r="W8" s="22"/>
      <c r="X8" s="22"/>
      <c r="Y8" s="22"/>
      <c r="Z8" s="22"/>
      <c r="AA8" s="22"/>
      <c r="AB8" s="22"/>
      <c r="AC8" s="22"/>
      <c r="AD8" s="22"/>
    </row>
    <row r="9" spans="1:37" ht="14.25" customHeight="1">
      <c r="B9" s="144"/>
      <c r="C9" s="144"/>
      <c r="D9" s="144"/>
      <c r="E9" s="144"/>
      <c r="F9" s="144"/>
      <c r="G9" s="144"/>
      <c r="L9" s="144"/>
      <c r="Q9" s="22"/>
      <c r="R9" s="22"/>
      <c r="S9" s="22"/>
      <c r="T9" s="22"/>
      <c r="U9" s="22"/>
      <c r="V9" s="22"/>
      <c r="W9" s="22"/>
      <c r="X9" s="22"/>
      <c r="Y9" s="22"/>
      <c r="Z9" s="22"/>
      <c r="AA9" s="22"/>
      <c r="AB9" s="22"/>
      <c r="AC9" s="22"/>
      <c r="AD9" s="22"/>
    </row>
    <row r="10" spans="1:37" ht="14.25" customHeight="1">
      <c r="B10" s="144"/>
      <c r="C10" s="144"/>
      <c r="D10" s="144"/>
      <c r="E10" s="144"/>
      <c r="F10" s="144"/>
      <c r="G10" s="144"/>
      <c r="L10" s="144"/>
      <c r="Q10" s="22"/>
      <c r="R10" s="22"/>
      <c r="S10" s="22"/>
      <c r="T10" s="22"/>
      <c r="U10" s="22"/>
      <c r="V10" s="22"/>
      <c r="W10" s="22"/>
      <c r="X10" s="22"/>
      <c r="Y10" s="22"/>
      <c r="Z10" s="22"/>
      <c r="AA10" s="22"/>
      <c r="AB10" s="22"/>
      <c r="AC10" s="22"/>
      <c r="AD10" s="22"/>
    </row>
    <row r="11" spans="1:37" ht="14.25" customHeight="1">
      <c r="B11" s="144"/>
      <c r="C11" s="144"/>
      <c r="D11" s="144"/>
      <c r="E11" s="144"/>
      <c r="F11" s="144"/>
      <c r="G11" s="144"/>
      <c r="L11" s="144"/>
      <c r="Q11" s="22"/>
      <c r="R11" s="22"/>
      <c r="S11" s="22"/>
      <c r="T11" s="22"/>
      <c r="U11" s="22"/>
      <c r="V11" s="22"/>
      <c r="W11" s="22"/>
      <c r="X11" s="22"/>
      <c r="Y11" s="22"/>
      <c r="Z11" s="22"/>
      <c r="AA11" s="22"/>
      <c r="AB11" s="22"/>
      <c r="AC11" s="22"/>
      <c r="AD11" s="22"/>
    </row>
    <row r="12" spans="1:37" ht="14.25" customHeight="1">
      <c r="B12" s="144"/>
      <c r="C12" s="144"/>
      <c r="D12" s="144"/>
      <c r="E12" s="144"/>
      <c r="F12" s="144"/>
      <c r="G12" s="144"/>
      <c r="L12" s="144"/>
      <c r="Q12" s="22"/>
      <c r="R12" s="22"/>
      <c r="S12" s="22"/>
      <c r="T12" s="22"/>
      <c r="U12" s="22"/>
      <c r="V12" s="22"/>
      <c r="W12" s="22"/>
      <c r="X12" s="22"/>
      <c r="Y12" s="22"/>
      <c r="Z12" s="22"/>
      <c r="AA12" s="22"/>
      <c r="AB12" s="22"/>
      <c r="AC12" s="22"/>
      <c r="AD12" s="22"/>
    </row>
    <row r="13" spans="1:37" ht="14.25" customHeight="1">
      <c r="B13" s="144"/>
      <c r="C13" s="144"/>
      <c r="D13" s="144"/>
      <c r="E13" s="144"/>
      <c r="F13" s="144"/>
      <c r="G13" s="144"/>
      <c r="L13" s="144"/>
      <c r="Q13" s="22"/>
      <c r="R13" s="22"/>
      <c r="S13" s="22"/>
      <c r="T13" s="22"/>
      <c r="U13" s="22"/>
      <c r="V13" s="22"/>
      <c r="W13" s="22"/>
      <c r="X13" s="22"/>
      <c r="Y13" s="22"/>
      <c r="Z13" s="22"/>
      <c r="AA13" s="22"/>
      <c r="AB13" s="22"/>
      <c r="AC13" s="22"/>
      <c r="AD13" s="22"/>
    </row>
    <row r="14" spans="1:37" ht="14.25" customHeight="1">
      <c r="B14" s="144"/>
      <c r="C14" s="144"/>
      <c r="D14" s="144"/>
      <c r="E14" s="144"/>
      <c r="F14" s="144"/>
      <c r="G14" s="144"/>
      <c r="L14" s="144"/>
      <c r="Q14" s="22"/>
      <c r="R14" s="22"/>
      <c r="S14" s="22"/>
      <c r="T14" s="22"/>
      <c r="U14" s="22"/>
      <c r="V14" s="22"/>
      <c r="W14" s="22"/>
      <c r="X14" s="22"/>
      <c r="Y14" s="22"/>
      <c r="Z14" s="22"/>
      <c r="AA14" s="22"/>
      <c r="AB14" s="22"/>
      <c r="AC14" s="22"/>
      <c r="AD14" s="22"/>
    </row>
    <row r="15" spans="1:37" ht="14.25" customHeight="1">
      <c r="B15" s="144"/>
      <c r="C15" s="144"/>
      <c r="D15" s="144"/>
      <c r="E15" s="144"/>
      <c r="F15" s="144"/>
      <c r="G15" s="144"/>
      <c r="L15" s="144"/>
      <c r="Q15" s="22"/>
      <c r="R15" s="22"/>
      <c r="S15" s="22"/>
      <c r="T15" s="22"/>
      <c r="U15" s="22"/>
      <c r="V15" s="22"/>
      <c r="W15" s="22"/>
      <c r="X15" s="22"/>
      <c r="Y15" s="22"/>
      <c r="Z15" s="22"/>
      <c r="AA15" s="22"/>
      <c r="AB15" s="22"/>
      <c r="AC15" s="22"/>
      <c r="AD15" s="22"/>
    </row>
    <row r="16" spans="1:37" ht="14.25" customHeight="1">
      <c r="B16" s="144"/>
      <c r="C16" s="144"/>
      <c r="D16" s="144"/>
      <c r="E16" s="144"/>
      <c r="F16" s="144"/>
      <c r="G16" s="144"/>
      <c r="L16" s="144"/>
      <c r="Q16" s="22"/>
      <c r="R16" s="22"/>
      <c r="S16" s="22"/>
      <c r="T16" s="22"/>
      <c r="U16" s="22"/>
      <c r="V16" s="22"/>
      <c r="W16" s="22"/>
      <c r="X16" s="22"/>
      <c r="Y16" s="22"/>
      <c r="Z16" s="22"/>
      <c r="AA16" s="22"/>
      <c r="AB16" s="22"/>
      <c r="AC16" s="22"/>
      <c r="AD16" s="22"/>
    </row>
    <row r="17" spans="1:37" ht="14.25" customHeight="1">
      <c r="B17" s="144"/>
      <c r="C17" s="144"/>
      <c r="D17" s="144"/>
      <c r="E17" s="144"/>
      <c r="F17" s="144"/>
      <c r="G17" s="144"/>
      <c r="L17" s="144"/>
      <c r="Q17" s="22"/>
      <c r="R17" s="22"/>
      <c r="S17" s="22"/>
      <c r="T17" s="22"/>
      <c r="U17" s="22"/>
      <c r="V17" s="22"/>
      <c r="W17" s="22"/>
      <c r="X17" s="22"/>
      <c r="Y17" s="22"/>
      <c r="Z17" s="22"/>
      <c r="AA17" s="22"/>
      <c r="AB17" s="22"/>
      <c r="AC17" s="22"/>
      <c r="AD17" s="22"/>
    </row>
    <row r="18" spans="1:37" ht="14.25" customHeight="1">
      <c r="B18" s="144"/>
      <c r="C18" s="144"/>
      <c r="D18" s="144"/>
      <c r="E18" s="144"/>
      <c r="F18" s="144"/>
      <c r="G18" s="144"/>
      <c r="L18" s="144"/>
      <c r="Q18" s="22"/>
      <c r="R18" s="22"/>
      <c r="S18" s="22"/>
      <c r="T18" s="22"/>
      <c r="U18" s="22"/>
      <c r="V18" s="22"/>
      <c r="W18" s="22"/>
      <c r="X18" s="22"/>
      <c r="Y18" s="22"/>
      <c r="Z18" s="22"/>
      <c r="AA18" s="22"/>
      <c r="AB18" s="22"/>
      <c r="AC18" s="22"/>
      <c r="AD18" s="22"/>
    </row>
    <row r="19" spans="1:37" ht="14.25" customHeight="1">
      <c r="B19" s="144"/>
      <c r="C19" s="144"/>
      <c r="D19" s="144"/>
      <c r="E19" s="144"/>
      <c r="F19" s="144"/>
      <c r="G19" s="144"/>
      <c r="L19" s="144"/>
      <c r="Q19" s="22"/>
      <c r="R19" s="22"/>
      <c r="S19" s="22"/>
      <c r="T19" s="22"/>
      <c r="U19" s="22"/>
      <c r="V19" s="22"/>
      <c r="W19" s="22"/>
      <c r="X19" s="22"/>
      <c r="Y19" s="22"/>
      <c r="Z19" s="22"/>
      <c r="AA19" s="22"/>
      <c r="AB19" s="22"/>
      <c r="AC19" s="22"/>
      <c r="AD19" s="22"/>
    </row>
    <row r="20" spans="1:37" ht="14.25" customHeight="1">
      <c r="B20" s="144"/>
      <c r="C20" s="144"/>
      <c r="D20" s="144"/>
      <c r="E20" s="144"/>
      <c r="F20" s="144"/>
      <c r="G20" s="144"/>
      <c r="L20" s="144"/>
      <c r="Q20" s="22"/>
      <c r="R20" s="22"/>
      <c r="S20" s="22"/>
      <c r="T20" s="22"/>
      <c r="U20" s="22"/>
      <c r="V20" s="22"/>
      <c r="W20" s="22"/>
      <c r="X20" s="22"/>
      <c r="Y20" s="22"/>
      <c r="Z20" s="22"/>
      <c r="AA20" s="22"/>
      <c r="AB20" s="22"/>
      <c r="AC20" s="22"/>
      <c r="AD20" s="22"/>
    </row>
    <row r="21" spans="1:37" ht="14.25" customHeight="1">
      <c r="B21" s="144"/>
      <c r="C21" s="144"/>
      <c r="D21" s="144"/>
      <c r="E21" s="144"/>
      <c r="F21" s="144"/>
      <c r="G21" s="144"/>
      <c r="L21" s="144"/>
      <c r="Q21" s="22"/>
      <c r="R21" s="22"/>
      <c r="S21" s="22"/>
      <c r="T21" s="22"/>
      <c r="U21" s="22"/>
      <c r="V21" s="22"/>
      <c r="W21" s="22"/>
      <c r="X21" s="22"/>
      <c r="Y21" s="22"/>
      <c r="Z21" s="22"/>
      <c r="AA21" s="22"/>
      <c r="AB21" s="22"/>
      <c r="AC21" s="22"/>
      <c r="AD21" s="22"/>
    </row>
    <row r="22" spans="1:37" ht="14.25" customHeight="1">
      <c r="B22" s="144"/>
      <c r="C22" s="144"/>
      <c r="D22" s="144"/>
      <c r="E22" s="144"/>
      <c r="F22" s="144"/>
      <c r="G22" s="144"/>
      <c r="L22" s="144"/>
      <c r="Q22" s="22"/>
      <c r="R22" s="22"/>
      <c r="S22" s="22"/>
      <c r="T22" s="22"/>
      <c r="U22" s="22"/>
      <c r="V22" s="22"/>
      <c r="W22" s="22"/>
      <c r="X22" s="22"/>
      <c r="Y22" s="22"/>
      <c r="Z22" s="22"/>
      <c r="AA22" s="22"/>
      <c r="AB22" s="22"/>
      <c r="AC22" s="22"/>
      <c r="AD22" s="22"/>
    </row>
    <row r="23" spans="1:37" ht="14.25" customHeight="1">
      <c r="B23" s="144"/>
      <c r="C23" s="144"/>
      <c r="D23" s="144"/>
      <c r="E23" s="144"/>
      <c r="F23" s="144"/>
      <c r="G23" s="144"/>
      <c r="L23" s="144"/>
      <c r="Q23" s="22"/>
      <c r="R23" s="22"/>
      <c r="S23" s="22"/>
      <c r="T23" s="22"/>
      <c r="U23" s="22"/>
      <c r="V23" s="22"/>
      <c r="W23" s="22"/>
      <c r="X23" s="22"/>
      <c r="Y23" s="22"/>
      <c r="Z23" s="22"/>
      <c r="AA23" s="22"/>
      <c r="AB23" s="22"/>
      <c r="AC23" s="22"/>
      <c r="AD23" s="22"/>
    </row>
    <row r="24" spans="1:37" ht="14.25" customHeight="1">
      <c r="B24" s="144"/>
      <c r="C24" s="144"/>
      <c r="D24" s="144"/>
      <c r="E24" s="144"/>
      <c r="F24" s="144"/>
      <c r="G24" s="144"/>
      <c r="L24" s="144"/>
      <c r="Q24" s="22"/>
      <c r="R24" s="22"/>
      <c r="S24" s="22"/>
      <c r="T24" s="22"/>
      <c r="U24" s="22"/>
      <c r="V24" s="22"/>
      <c r="W24" s="22"/>
      <c r="X24" s="22"/>
      <c r="Y24" s="22"/>
      <c r="Z24" s="22"/>
      <c r="AA24" s="22"/>
      <c r="AB24" s="22"/>
      <c r="AC24" s="22"/>
      <c r="AD24" s="22"/>
    </row>
    <row r="25" spans="1:37" s="22" customFormat="1">
      <c r="A25" s="144"/>
      <c r="B25" s="144"/>
      <c r="C25" s="144"/>
      <c r="D25" s="144"/>
      <c r="E25" s="144"/>
      <c r="F25" s="144"/>
      <c r="G25" s="144"/>
      <c r="H25" s="144"/>
      <c r="I25" s="144"/>
      <c r="J25" s="144"/>
      <c r="K25" s="144"/>
      <c r="L25" s="144"/>
      <c r="O25" s="41"/>
      <c r="P25" s="41"/>
      <c r="AE25" s="96"/>
      <c r="AF25" s="96"/>
      <c r="AG25" s="96"/>
      <c r="AH25" s="96"/>
      <c r="AI25" s="96"/>
      <c r="AJ25" s="96"/>
      <c r="AK25" s="96"/>
    </row>
    <row r="26" spans="1:37" s="22" customFormat="1" ht="14.25" customHeight="1">
      <c r="A26" s="144"/>
      <c r="B26" s="144"/>
      <c r="C26" s="144"/>
      <c r="D26" s="144"/>
      <c r="E26" s="144"/>
      <c r="F26" s="144"/>
      <c r="G26" s="144"/>
      <c r="H26" s="144"/>
      <c r="I26" s="144"/>
      <c r="J26" s="144"/>
      <c r="K26" s="144"/>
      <c r="L26" s="144"/>
      <c r="AE26" s="96"/>
      <c r="AF26" s="96"/>
      <c r="AG26" s="96"/>
      <c r="AH26" s="96"/>
      <c r="AI26" s="96"/>
      <c r="AJ26" s="96"/>
      <c r="AK26" s="96"/>
    </row>
    <row r="27" spans="1:37" s="22" customFormat="1" ht="14.25" customHeight="1">
      <c r="A27" s="144"/>
      <c r="B27" s="144"/>
      <c r="C27" s="144"/>
      <c r="D27" s="144"/>
      <c r="E27" s="144"/>
      <c r="F27" s="230"/>
      <c r="G27" s="144"/>
      <c r="H27" s="144"/>
      <c r="I27" s="144"/>
      <c r="J27" s="144"/>
      <c r="K27" s="144"/>
      <c r="L27" s="144"/>
      <c r="O27" s="41"/>
      <c r="P27" s="41"/>
      <c r="AE27" s="96"/>
      <c r="AF27" s="96"/>
      <c r="AG27" s="96"/>
      <c r="AH27" s="96"/>
      <c r="AI27" s="96"/>
      <c r="AJ27" s="96"/>
      <c r="AK27" s="96"/>
    </row>
    <row r="28" spans="1:37" s="22" customFormat="1" ht="14.25" customHeight="1">
      <c r="A28" s="144"/>
      <c r="B28" s="144"/>
      <c r="C28" s="144"/>
      <c r="D28" s="144"/>
      <c r="E28" s="144"/>
      <c r="F28" s="145"/>
      <c r="G28" s="144"/>
      <c r="H28" s="144"/>
      <c r="I28" s="144"/>
      <c r="J28" s="144"/>
      <c r="K28" s="144"/>
      <c r="L28" s="144"/>
      <c r="O28" s="41"/>
      <c r="P28" s="41"/>
      <c r="AE28" s="96"/>
      <c r="AF28" s="96"/>
      <c r="AG28" s="96"/>
      <c r="AH28" s="96"/>
      <c r="AI28" s="96"/>
      <c r="AJ28" s="96"/>
      <c r="AK28" s="96"/>
    </row>
    <row r="29" spans="1:37" s="22" customFormat="1" ht="14.25" customHeight="1">
      <c r="A29" s="144"/>
      <c r="B29" s="144"/>
      <c r="C29" s="144"/>
      <c r="D29" s="144"/>
      <c r="E29" s="144"/>
      <c r="F29" s="144"/>
      <c r="G29" s="144"/>
      <c r="H29" s="144"/>
      <c r="I29" s="144"/>
      <c r="J29" s="144"/>
      <c r="K29" s="144"/>
      <c r="L29" s="144"/>
      <c r="O29" s="41"/>
      <c r="P29" s="41"/>
      <c r="AE29" s="96"/>
      <c r="AF29" s="96"/>
      <c r="AG29" s="96"/>
      <c r="AH29" s="96"/>
      <c r="AI29" s="96"/>
      <c r="AJ29" s="96"/>
      <c r="AK29" s="96"/>
    </row>
    <row r="30" spans="1:37" s="22" customFormat="1" ht="14.25" customHeight="1">
      <c r="A30" s="144"/>
      <c r="B30" s="144"/>
      <c r="C30" s="144"/>
      <c r="D30" s="144"/>
      <c r="E30" s="144"/>
      <c r="F30" s="144"/>
      <c r="G30" s="144"/>
      <c r="H30" s="144"/>
      <c r="I30" s="144"/>
      <c r="J30" s="144"/>
      <c r="K30" s="144"/>
      <c r="L30" s="144"/>
      <c r="O30" s="41"/>
      <c r="P30" s="41"/>
      <c r="AE30" s="96"/>
      <c r="AF30" s="96"/>
      <c r="AG30" s="96"/>
      <c r="AH30" s="96"/>
      <c r="AI30" s="96"/>
      <c r="AJ30" s="96"/>
      <c r="AK30" s="96"/>
    </row>
    <row r="31" spans="1:37" s="22" customFormat="1" ht="14.25" customHeight="1">
      <c r="A31" s="144"/>
      <c r="B31" s="144"/>
      <c r="C31" s="144"/>
      <c r="D31" s="144"/>
      <c r="E31" s="144"/>
      <c r="F31" s="144"/>
      <c r="G31" s="144"/>
      <c r="H31" s="144"/>
      <c r="I31" s="144"/>
      <c r="J31" s="144"/>
      <c r="K31" s="144"/>
      <c r="L31" s="144"/>
      <c r="O31" s="41"/>
      <c r="P31" s="41"/>
      <c r="AE31" s="96"/>
      <c r="AF31" s="96"/>
      <c r="AG31" s="96"/>
      <c r="AH31" s="96"/>
      <c r="AI31" s="96"/>
      <c r="AJ31" s="96"/>
      <c r="AK31" s="96"/>
    </row>
    <row r="32" spans="1:37" s="22" customFormat="1" ht="14.25" customHeight="1" thickBot="1">
      <c r="A32" s="144"/>
      <c r="B32" s="144"/>
      <c r="C32" s="144"/>
      <c r="D32" s="145"/>
      <c r="E32" s="144"/>
      <c r="F32" s="144"/>
      <c r="G32" s="144"/>
      <c r="H32" s="144"/>
      <c r="I32" s="144"/>
      <c r="J32" s="144"/>
      <c r="K32" s="144"/>
      <c r="L32" s="144"/>
      <c r="O32" s="41"/>
      <c r="P32" s="41"/>
      <c r="AE32" s="96"/>
      <c r="AF32" s="96"/>
      <c r="AG32" s="96"/>
      <c r="AH32" s="96"/>
      <c r="AI32" s="96"/>
      <c r="AJ32" s="96"/>
      <c r="AK32" s="96"/>
    </row>
    <row r="33" spans="1:37" ht="15.25" customHeight="1">
      <c r="B33" s="614" t="s">
        <v>718</v>
      </c>
      <c r="C33" s="615"/>
      <c r="D33" s="615"/>
      <c r="E33" s="616"/>
      <c r="F33" s="144"/>
      <c r="G33" s="144"/>
      <c r="L33" s="144"/>
      <c r="O33" s="41"/>
      <c r="P33" s="41"/>
      <c r="Q33" s="22"/>
      <c r="R33" s="22"/>
      <c r="S33" s="22"/>
      <c r="T33" s="22"/>
      <c r="U33" s="22"/>
      <c r="V33" s="22"/>
      <c r="W33" s="22"/>
      <c r="X33" s="22"/>
      <c r="Y33" s="22"/>
      <c r="Z33" s="22"/>
      <c r="AA33" s="22"/>
      <c r="AB33" s="22"/>
      <c r="AC33" s="22"/>
      <c r="AD33" s="22"/>
    </row>
    <row r="34" spans="1:37" s="1" customFormat="1" ht="31">
      <c r="A34" s="229"/>
      <c r="B34" s="447"/>
      <c r="C34" s="442" t="s">
        <v>719</v>
      </c>
      <c r="D34" s="443" t="s">
        <v>720</v>
      </c>
      <c r="E34" s="448" t="str">
        <f>IF(Introduction!D23&lt;&gt;"",Introduction!D23,"Your community")</f>
        <v>Your community</v>
      </c>
      <c r="F34" s="144"/>
      <c r="G34" s="229"/>
      <c r="H34" s="229"/>
      <c r="I34" s="229"/>
      <c r="J34" s="229"/>
      <c r="K34" s="229"/>
      <c r="L34" s="229"/>
      <c r="M34" s="41"/>
      <c r="N34" s="41"/>
      <c r="O34" s="41"/>
      <c r="P34" s="41"/>
      <c r="Q34" s="22"/>
      <c r="R34" s="22"/>
      <c r="S34" s="22"/>
      <c r="T34" s="22"/>
      <c r="U34" s="22"/>
      <c r="V34" s="22"/>
      <c r="W34" s="22"/>
      <c r="X34" s="22"/>
      <c r="Y34" s="22"/>
      <c r="Z34" s="22"/>
      <c r="AA34" s="22"/>
      <c r="AB34" s="22"/>
      <c r="AC34" s="22"/>
      <c r="AD34" s="22"/>
      <c r="AE34" s="96"/>
      <c r="AF34" s="96"/>
      <c r="AG34" s="96"/>
      <c r="AH34" s="96"/>
      <c r="AI34" s="96"/>
      <c r="AJ34" s="97"/>
      <c r="AK34" s="97"/>
    </row>
    <row r="35" spans="1:37" ht="15.5">
      <c r="B35" s="412" t="s">
        <v>721</v>
      </c>
      <c r="C35" s="413">
        <v>100</v>
      </c>
      <c r="D35" s="413">
        <v>26</v>
      </c>
      <c r="E35" s="461">
        <f>SUM(E117,E36,E51,E101,E68)</f>
        <v>0</v>
      </c>
      <c r="F35" s="144"/>
      <c r="G35" s="144"/>
      <c r="L35" s="144"/>
      <c r="O35" s="41"/>
      <c r="P35" s="41"/>
      <c r="Q35" s="22"/>
      <c r="R35" s="22"/>
      <c r="S35" s="22"/>
      <c r="T35" s="22"/>
      <c r="U35" s="22"/>
      <c r="V35" s="22"/>
      <c r="W35" s="22"/>
      <c r="X35" s="22"/>
      <c r="Y35" s="22"/>
      <c r="Z35" s="22"/>
      <c r="AA35" s="22"/>
      <c r="AB35" s="22"/>
      <c r="AC35" s="22"/>
      <c r="AD35" s="22"/>
    </row>
    <row r="36" spans="1:37" ht="15.5">
      <c r="B36" s="449" t="s">
        <v>12</v>
      </c>
      <c r="C36" s="444">
        <v>15</v>
      </c>
      <c r="D36" s="444">
        <v>3</v>
      </c>
      <c r="E36" s="459">
        <f>SUM(E37,E45,E48,E43)</f>
        <v>0</v>
      </c>
      <c r="F36" s="144"/>
      <c r="G36" s="144"/>
      <c r="L36" s="144"/>
      <c r="O36" s="41"/>
      <c r="P36" s="41"/>
      <c r="Q36" s="22"/>
      <c r="R36" s="22"/>
      <c r="S36" s="22"/>
      <c r="T36" s="22"/>
      <c r="U36" s="22"/>
      <c r="V36" s="22"/>
      <c r="W36" s="22"/>
      <c r="X36" s="22"/>
      <c r="Y36" s="22"/>
      <c r="Z36" s="22"/>
      <c r="AA36" s="22"/>
      <c r="AB36" s="22"/>
      <c r="AC36" s="22"/>
      <c r="AD36" s="22"/>
    </row>
    <row r="37" spans="1:37" ht="15.5">
      <c r="B37" s="450" t="s">
        <v>722</v>
      </c>
      <c r="C37" s="445">
        <v>8</v>
      </c>
      <c r="D37" s="445">
        <v>1.25</v>
      </c>
      <c r="E37" s="451">
        <f>SUM(E38:E42)</f>
        <v>0</v>
      </c>
      <c r="F37" s="144"/>
      <c r="G37" s="144"/>
      <c r="L37" s="144"/>
      <c r="O37" s="41"/>
      <c r="P37" s="41"/>
      <c r="Q37" s="22"/>
      <c r="R37" s="22"/>
      <c r="S37" s="22"/>
      <c r="T37" s="22"/>
      <c r="U37" s="22"/>
      <c r="V37" s="22"/>
      <c r="W37" s="22"/>
      <c r="X37" s="22"/>
      <c r="Y37" s="22"/>
      <c r="Z37" s="22"/>
      <c r="AA37" s="22"/>
      <c r="AB37" s="22"/>
      <c r="AC37" s="22"/>
      <c r="AD37" s="22"/>
    </row>
    <row r="38" spans="1:37" ht="15.5">
      <c r="B38" s="452" t="s">
        <v>723</v>
      </c>
      <c r="C38" s="446">
        <v>2</v>
      </c>
      <c r="D38" s="446">
        <v>0</v>
      </c>
      <c r="E38" s="454" t="str">
        <f>'Community-wide initiatives'!E35</f>
        <v/>
      </c>
      <c r="F38" s="144"/>
      <c r="G38" s="144"/>
      <c r="L38" s="144"/>
      <c r="O38" s="41"/>
      <c r="P38" s="41"/>
      <c r="Q38" s="22"/>
      <c r="R38" s="22"/>
      <c r="S38" s="22"/>
      <c r="T38" s="22"/>
      <c r="U38" s="22"/>
      <c r="V38" s="22"/>
      <c r="W38" s="22"/>
      <c r="X38" s="22"/>
      <c r="Y38" s="22"/>
      <c r="Z38" s="22"/>
      <c r="AA38" s="22"/>
      <c r="AB38" s="22"/>
      <c r="AC38" s="22"/>
      <c r="AD38" s="22"/>
    </row>
    <row r="39" spans="1:37" ht="15.5">
      <c r="B39" s="452" t="s">
        <v>724</v>
      </c>
      <c r="C39" s="446">
        <v>2</v>
      </c>
      <c r="D39" s="446">
        <v>0</v>
      </c>
      <c r="E39" s="454" t="str">
        <f>'Community-wide initiatives'!E36</f>
        <v/>
      </c>
      <c r="F39" s="144"/>
      <c r="G39" s="144"/>
      <c r="L39" s="144"/>
      <c r="O39" s="41"/>
      <c r="P39" s="41"/>
      <c r="Q39" s="22"/>
      <c r="R39" s="22"/>
      <c r="S39" s="22"/>
      <c r="T39" s="22"/>
      <c r="U39" s="22"/>
      <c r="V39" s="22"/>
      <c r="W39" s="22"/>
      <c r="X39" s="22"/>
      <c r="Y39" s="22"/>
      <c r="Z39" s="22"/>
      <c r="AA39" s="22"/>
      <c r="AB39" s="22"/>
      <c r="AC39" s="22"/>
      <c r="AD39" s="22"/>
    </row>
    <row r="40" spans="1:37" ht="15.5">
      <c r="B40" s="452" t="s">
        <v>725</v>
      </c>
      <c r="C40" s="446">
        <v>2</v>
      </c>
      <c r="D40" s="446">
        <v>0</v>
      </c>
      <c r="E40" s="454" t="str">
        <f>'Community-wide initiatives'!E30</f>
        <v/>
      </c>
      <c r="F40" s="144"/>
      <c r="G40" s="144"/>
      <c r="L40" s="144"/>
      <c r="O40" s="41"/>
      <c r="P40" s="41"/>
      <c r="Q40" s="22"/>
      <c r="R40" s="22"/>
      <c r="S40" s="22"/>
      <c r="T40" s="22"/>
      <c r="U40" s="22"/>
      <c r="V40" s="22"/>
      <c r="W40" s="22"/>
      <c r="X40" s="22"/>
      <c r="Y40" s="22"/>
      <c r="Z40" s="22"/>
      <c r="AA40" s="22"/>
      <c r="AB40" s="22"/>
      <c r="AC40" s="22"/>
      <c r="AD40" s="22"/>
    </row>
    <row r="41" spans="1:37" ht="15.5">
      <c r="B41" s="452" t="s">
        <v>146</v>
      </c>
      <c r="C41" s="446">
        <v>0.5</v>
      </c>
      <c r="D41" s="446">
        <v>0</v>
      </c>
      <c r="E41" s="454" t="str">
        <f>'Community-wide initiatives'!E24</f>
        <v/>
      </c>
      <c r="F41" s="144"/>
      <c r="G41" s="144"/>
      <c r="L41" s="144"/>
      <c r="O41" s="41"/>
      <c r="P41" s="41"/>
      <c r="Q41" s="22"/>
      <c r="R41" s="22"/>
      <c r="S41" s="22"/>
      <c r="T41" s="22"/>
      <c r="U41" s="22"/>
      <c r="V41" s="22"/>
      <c r="W41" s="22"/>
      <c r="X41" s="22"/>
      <c r="Y41" s="22"/>
      <c r="Z41" s="22"/>
      <c r="AA41" s="22"/>
      <c r="AB41" s="22"/>
      <c r="AC41" s="22"/>
      <c r="AD41" s="22"/>
    </row>
    <row r="42" spans="1:37" ht="15.5">
      <c r="B42" s="452" t="s">
        <v>726</v>
      </c>
      <c r="C42" s="446">
        <v>1.5</v>
      </c>
      <c r="D42" s="446">
        <v>0</v>
      </c>
      <c r="E42" s="454" t="str">
        <f>'Community-wide initiatives'!E25</f>
        <v/>
      </c>
      <c r="F42" s="144"/>
      <c r="G42" s="144"/>
      <c r="L42" s="144"/>
      <c r="O42" s="41"/>
      <c r="P42" s="41"/>
      <c r="Q42" s="22"/>
      <c r="R42" s="22"/>
      <c r="S42" s="22"/>
      <c r="T42" s="22"/>
      <c r="U42" s="22"/>
      <c r="V42" s="22"/>
      <c r="W42" s="22"/>
      <c r="X42" s="22"/>
      <c r="Y42" s="22"/>
      <c r="Z42" s="22"/>
      <c r="AA42" s="22"/>
      <c r="AB42" s="22"/>
      <c r="AC42" s="22"/>
      <c r="AD42" s="22"/>
    </row>
    <row r="43" spans="1:37" ht="31">
      <c r="B43" s="453" t="s">
        <v>727</v>
      </c>
      <c r="C43" s="445">
        <v>2.5</v>
      </c>
      <c r="D43" s="445">
        <v>0</v>
      </c>
      <c r="E43" s="451">
        <f>E44</f>
        <v>0</v>
      </c>
      <c r="F43" s="144"/>
      <c r="G43" s="144"/>
      <c r="L43" s="144"/>
      <c r="O43" s="41"/>
      <c r="P43" s="41"/>
      <c r="Q43" s="22"/>
      <c r="R43" s="22"/>
      <c r="S43" s="22"/>
      <c r="T43" s="22"/>
      <c r="U43" s="22"/>
      <c r="V43" s="22"/>
      <c r="W43" s="22"/>
      <c r="X43" s="22"/>
      <c r="Y43" s="22"/>
      <c r="Z43" s="22"/>
      <c r="AA43" s="22"/>
      <c r="AB43" s="22"/>
      <c r="AC43" s="22"/>
      <c r="AD43" s="22"/>
    </row>
    <row r="44" spans="1:37" ht="15.5">
      <c r="B44" s="452" t="s">
        <v>728</v>
      </c>
      <c r="C44" s="446">
        <v>2.5</v>
      </c>
      <c r="D44" s="446">
        <v>0</v>
      </c>
      <c r="E44" s="454">
        <f>SUM('Community-wide initiatives'!E49:E51)</f>
        <v>0</v>
      </c>
      <c r="F44" s="144"/>
      <c r="G44" s="144"/>
      <c r="L44" s="144"/>
      <c r="O44" s="41"/>
      <c r="P44" s="41"/>
      <c r="Q44" s="22"/>
      <c r="R44" s="22"/>
      <c r="S44" s="22"/>
      <c r="T44" s="22"/>
      <c r="U44" s="22"/>
      <c r="V44" s="22"/>
      <c r="W44" s="22"/>
      <c r="X44" s="22"/>
      <c r="Y44" s="22"/>
      <c r="Z44" s="22"/>
      <c r="AA44" s="22"/>
      <c r="AB44" s="22"/>
      <c r="AC44" s="22"/>
      <c r="AD44" s="22"/>
    </row>
    <row r="45" spans="1:37" ht="15.5">
      <c r="B45" s="450" t="s">
        <v>729</v>
      </c>
      <c r="C45" s="445">
        <v>3</v>
      </c>
      <c r="D45" s="445">
        <v>0</v>
      </c>
      <c r="E45" s="451">
        <f>SUM(E46:E47)</f>
        <v>0</v>
      </c>
      <c r="F45" s="144"/>
      <c r="G45" s="144"/>
      <c r="L45" s="144"/>
      <c r="O45" s="41"/>
      <c r="P45" s="41"/>
      <c r="Q45" s="22"/>
      <c r="R45" s="22"/>
      <c r="S45" s="22"/>
      <c r="T45" s="22"/>
      <c r="U45" s="22"/>
      <c r="V45" s="22"/>
      <c r="W45" s="22"/>
      <c r="X45" s="22"/>
      <c r="Y45" s="22"/>
      <c r="Z45" s="22"/>
      <c r="AA45" s="22"/>
      <c r="AB45" s="22"/>
      <c r="AC45" s="22"/>
      <c r="AD45" s="22"/>
    </row>
    <row r="46" spans="1:37" ht="15.5">
      <c r="B46" s="452" t="s">
        <v>1585</v>
      </c>
      <c r="C46" s="446">
        <v>1.5</v>
      </c>
      <c r="D46" s="446">
        <v>0</v>
      </c>
      <c r="E46" s="454">
        <f>SUM('Community-wide initiatives'!E40,'Community-wide initiatives'!E42,'Community-wide initiatives'!E44)</f>
        <v>0</v>
      </c>
      <c r="F46" s="144"/>
      <c r="G46" s="144"/>
      <c r="L46" s="144"/>
      <c r="O46" s="41"/>
      <c r="P46" s="41"/>
      <c r="Q46" s="22"/>
      <c r="R46" s="22"/>
      <c r="S46" s="22"/>
      <c r="T46" s="22"/>
      <c r="U46" s="22"/>
      <c r="V46" s="22"/>
      <c r="W46" s="22"/>
      <c r="X46" s="22"/>
      <c r="Y46" s="22"/>
      <c r="Z46" s="22"/>
      <c r="AA46" s="22"/>
      <c r="AB46" s="22"/>
      <c r="AC46" s="22"/>
      <c r="AD46" s="22"/>
    </row>
    <row r="47" spans="1:37" ht="15.5">
      <c r="B47" s="452" t="s">
        <v>730</v>
      </c>
      <c r="C47" s="446">
        <v>1.5</v>
      </c>
      <c r="D47" s="446">
        <v>0</v>
      </c>
      <c r="E47" s="454">
        <f>SUM('Community-wide initiatives'!E41,'Community-wide initiatives'!E43,'Community-wide initiatives'!E45)</f>
        <v>0</v>
      </c>
      <c r="F47" s="144"/>
      <c r="G47" s="144"/>
      <c r="L47" s="144"/>
      <c r="O47" s="41"/>
      <c r="P47" s="41"/>
      <c r="Q47" s="22"/>
      <c r="R47" s="22"/>
      <c r="S47" s="22"/>
      <c r="T47" s="22"/>
      <c r="U47" s="22"/>
      <c r="V47" s="22"/>
      <c r="W47" s="22"/>
      <c r="X47" s="22"/>
      <c r="Y47" s="22"/>
      <c r="Z47" s="22"/>
      <c r="AA47" s="22"/>
      <c r="AB47" s="22"/>
      <c r="AC47" s="22"/>
      <c r="AD47" s="22"/>
    </row>
    <row r="48" spans="1:37" ht="15.5">
      <c r="B48" s="450" t="s">
        <v>124</v>
      </c>
      <c r="C48" s="445">
        <v>1.5</v>
      </c>
      <c r="D48" s="445">
        <v>0.5</v>
      </c>
      <c r="E48" s="451">
        <f>SUM(E49:E50)</f>
        <v>0</v>
      </c>
      <c r="F48" s="144"/>
      <c r="G48" s="144"/>
      <c r="L48" s="144"/>
      <c r="O48" s="41"/>
      <c r="P48" s="41"/>
      <c r="Q48" s="22"/>
      <c r="R48" s="22"/>
      <c r="S48" s="22"/>
      <c r="T48" s="22"/>
      <c r="U48" s="22"/>
      <c r="V48" s="22"/>
      <c r="W48" s="22"/>
      <c r="X48" s="22"/>
      <c r="Y48" s="22"/>
      <c r="Z48" s="22"/>
      <c r="AA48" s="22"/>
      <c r="AB48" s="22"/>
      <c r="AC48" s="22"/>
      <c r="AD48" s="22"/>
    </row>
    <row r="49" spans="2:30" ht="15.5">
      <c r="B49" s="452" t="s">
        <v>168</v>
      </c>
      <c r="C49" s="446">
        <v>0.5</v>
      </c>
      <c r="D49" s="446">
        <v>0</v>
      </c>
      <c r="E49" s="454" t="str">
        <f>'Community-wide initiatives'!E55</f>
        <v/>
      </c>
      <c r="F49" s="144"/>
      <c r="G49" s="144"/>
      <c r="L49" s="144"/>
      <c r="O49" s="41"/>
      <c r="P49" s="41"/>
      <c r="Q49" s="22"/>
      <c r="R49" s="22"/>
      <c r="S49" s="22"/>
      <c r="T49" s="22"/>
      <c r="U49" s="22"/>
      <c r="V49" s="22"/>
      <c r="W49" s="22"/>
      <c r="X49" s="22"/>
      <c r="Y49" s="22"/>
      <c r="Z49" s="22"/>
      <c r="AA49" s="22"/>
      <c r="AB49" s="22"/>
      <c r="AC49" s="22"/>
      <c r="AD49" s="22"/>
    </row>
    <row r="50" spans="2:30" ht="15.5">
      <c r="B50" s="452" t="s">
        <v>731</v>
      </c>
      <c r="C50" s="446">
        <v>1</v>
      </c>
      <c r="D50" s="446">
        <v>0.5</v>
      </c>
      <c r="E50" s="454" t="str">
        <f>'Community-wide initiatives'!E56</f>
        <v/>
      </c>
      <c r="F50" s="144"/>
      <c r="G50" s="144"/>
      <c r="L50" s="144"/>
      <c r="O50" s="41"/>
      <c r="P50" s="41"/>
      <c r="Q50" s="22"/>
      <c r="R50" s="22"/>
      <c r="S50" s="22"/>
      <c r="T50" s="22"/>
      <c r="U50" s="22"/>
      <c r="V50" s="22"/>
      <c r="W50" s="22"/>
      <c r="X50" s="22"/>
      <c r="Y50" s="22"/>
      <c r="Z50" s="22"/>
      <c r="AA50" s="22"/>
      <c r="AB50" s="22"/>
      <c r="AC50" s="22"/>
      <c r="AD50" s="22"/>
    </row>
    <row r="51" spans="2:30" ht="15.5">
      <c r="B51" s="449" t="s">
        <v>254</v>
      </c>
      <c r="C51" s="444">
        <v>30</v>
      </c>
      <c r="D51" s="444">
        <v>7.5</v>
      </c>
      <c r="E51" s="459">
        <f>SUM(E52,E58,E62,E65)</f>
        <v>0</v>
      </c>
      <c r="F51" s="144"/>
      <c r="G51" s="144"/>
      <c r="L51" s="144"/>
      <c r="O51" s="41"/>
      <c r="P51" s="41"/>
      <c r="Q51" s="22"/>
      <c r="R51" s="22"/>
      <c r="S51" s="22"/>
      <c r="T51" s="22"/>
      <c r="U51" s="22"/>
      <c r="V51" s="22"/>
      <c r="W51" s="22"/>
      <c r="X51" s="22"/>
      <c r="Y51" s="22"/>
      <c r="Z51" s="22"/>
      <c r="AA51" s="22"/>
      <c r="AB51" s="22"/>
      <c r="AC51" s="22"/>
      <c r="AD51" s="22"/>
    </row>
    <row r="52" spans="2:30" ht="15.5">
      <c r="B52" s="450" t="s">
        <v>256</v>
      </c>
      <c r="C52" s="445">
        <v>10</v>
      </c>
      <c r="D52" s="445">
        <v>3.5</v>
      </c>
      <c r="E52" s="451">
        <f>SUM(E53:E57)</f>
        <v>0</v>
      </c>
      <c r="F52" s="144"/>
      <c r="G52" s="144"/>
      <c r="L52" s="144"/>
      <c r="O52" s="41"/>
      <c r="P52" s="41"/>
      <c r="Q52" s="22"/>
      <c r="R52" s="22"/>
      <c r="S52" s="22"/>
      <c r="T52" s="22"/>
      <c r="U52" s="22"/>
      <c r="V52" s="22"/>
      <c r="W52" s="22"/>
      <c r="X52" s="22"/>
      <c r="Y52" s="22"/>
      <c r="Z52" s="22"/>
      <c r="AA52" s="22"/>
      <c r="AB52" s="22"/>
      <c r="AC52" s="22"/>
      <c r="AD52" s="22"/>
    </row>
    <row r="53" spans="2:30" ht="15.5">
      <c r="B53" s="452" t="s">
        <v>732</v>
      </c>
      <c r="C53" s="446">
        <v>3</v>
      </c>
      <c r="D53" s="446">
        <v>1.5</v>
      </c>
      <c r="E53" s="454" t="str">
        <f>'Buildings policies'!E16</f>
        <v/>
      </c>
      <c r="F53" s="144"/>
      <c r="G53" s="144"/>
      <c r="L53" s="144"/>
      <c r="O53" s="41"/>
      <c r="P53" s="41"/>
      <c r="Q53" s="22"/>
      <c r="R53" s="22"/>
      <c r="S53" s="22"/>
      <c r="T53" s="22"/>
      <c r="U53" s="22"/>
      <c r="V53" s="22"/>
      <c r="W53" s="22"/>
      <c r="X53" s="22"/>
      <c r="Y53" s="22"/>
      <c r="Z53" s="22"/>
      <c r="AA53" s="22"/>
      <c r="AB53" s="22"/>
      <c r="AC53" s="22"/>
      <c r="AD53" s="22"/>
    </row>
    <row r="54" spans="2:30" ht="15.5">
      <c r="B54" s="452" t="s">
        <v>733</v>
      </c>
      <c r="C54" s="446">
        <v>3</v>
      </c>
      <c r="D54" s="446">
        <v>1</v>
      </c>
      <c r="E54" s="454" t="str">
        <f>'Buildings policies'!E17</f>
        <v/>
      </c>
      <c r="F54" s="144"/>
      <c r="G54" s="144"/>
      <c r="L54" s="144"/>
      <c r="O54" s="41"/>
      <c r="P54" s="41"/>
      <c r="Q54" s="22"/>
      <c r="R54" s="22"/>
      <c r="S54" s="22"/>
      <c r="T54" s="22"/>
      <c r="U54" s="22"/>
      <c r="V54" s="22"/>
      <c r="W54" s="22"/>
      <c r="X54" s="22"/>
      <c r="Y54" s="22"/>
      <c r="Z54" s="22"/>
      <c r="AA54" s="22"/>
      <c r="AB54" s="22"/>
      <c r="AC54" s="22"/>
      <c r="AD54" s="22"/>
    </row>
    <row r="55" spans="2:30" ht="15.5">
      <c r="B55" s="452" t="s">
        <v>734</v>
      </c>
      <c r="C55" s="446">
        <v>1</v>
      </c>
      <c r="D55" s="446">
        <v>0.5</v>
      </c>
      <c r="E55" s="454" t="str">
        <f>'Buildings policies'!E19</f>
        <v/>
      </c>
      <c r="F55" s="144"/>
      <c r="G55" s="144"/>
      <c r="L55" s="144"/>
      <c r="O55" s="41"/>
      <c r="P55" s="41"/>
      <c r="Q55" s="22"/>
      <c r="R55" s="22"/>
      <c r="S55" s="22"/>
      <c r="T55" s="22"/>
      <c r="U55" s="22"/>
      <c r="V55" s="22"/>
      <c r="W55" s="22"/>
      <c r="X55" s="22"/>
      <c r="Y55" s="22"/>
      <c r="Z55" s="22"/>
      <c r="AA55" s="22"/>
      <c r="AB55" s="22"/>
      <c r="AC55" s="22"/>
      <c r="AD55" s="22"/>
    </row>
    <row r="56" spans="2:30" ht="15.5">
      <c r="B56" s="452" t="s">
        <v>735</v>
      </c>
      <c r="C56" s="446">
        <v>2</v>
      </c>
      <c r="D56" s="446">
        <v>0</v>
      </c>
      <c r="E56" s="454" t="str">
        <f>'Buildings policies'!E20</f>
        <v/>
      </c>
      <c r="F56" s="144"/>
      <c r="G56" s="144"/>
      <c r="L56" s="144"/>
      <c r="O56" s="41"/>
      <c r="P56" s="41"/>
      <c r="Q56" s="22"/>
      <c r="R56" s="22"/>
      <c r="S56" s="22"/>
      <c r="T56" s="22"/>
      <c r="U56" s="22"/>
      <c r="V56" s="22"/>
      <c r="W56" s="22"/>
      <c r="X56" s="22"/>
      <c r="Y56" s="22"/>
      <c r="Z56" s="22"/>
      <c r="AA56" s="22"/>
      <c r="AB56" s="22"/>
      <c r="AC56" s="22"/>
      <c r="AD56" s="22"/>
    </row>
    <row r="57" spans="2:30" ht="15.5">
      <c r="B57" s="452" t="s">
        <v>31</v>
      </c>
      <c r="C57" s="446">
        <v>1</v>
      </c>
      <c r="D57" s="446">
        <v>0</v>
      </c>
      <c r="E57" s="454" t="str">
        <f>'Buildings policies'!E21</f>
        <v/>
      </c>
      <c r="F57" s="144"/>
      <c r="G57" s="144"/>
      <c r="L57" s="144"/>
      <c r="O57" s="41"/>
      <c r="P57" s="41"/>
      <c r="Q57" s="22"/>
      <c r="R57" s="22"/>
      <c r="S57" s="22"/>
      <c r="T57" s="22"/>
      <c r="U57" s="22"/>
      <c r="V57" s="22"/>
      <c r="W57" s="22"/>
      <c r="X57" s="22"/>
      <c r="Y57" s="22"/>
      <c r="Z57" s="22"/>
      <c r="AA57" s="22"/>
      <c r="AB57" s="22"/>
      <c r="AC57" s="22"/>
      <c r="AD57" s="22"/>
    </row>
    <row r="58" spans="2:30" ht="15.5">
      <c r="B58" s="450" t="s">
        <v>736</v>
      </c>
      <c r="C58" s="445">
        <v>3</v>
      </c>
      <c r="D58" s="445">
        <v>1</v>
      </c>
      <c r="E58" s="451">
        <f>SUM(E59:E61)</f>
        <v>0</v>
      </c>
      <c r="F58" s="144"/>
      <c r="G58" s="144"/>
      <c r="L58" s="144"/>
      <c r="O58" s="41"/>
      <c r="P58" s="41"/>
      <c r="Q58" s="22"/>
      <c r="R58" s="22"/>
      <c r="S58" s="22"/>
      <c r="T58" s="22"/>
      <c r="U58" s="22"/>
      <c r="V58" s="22"/>
      <c r="W58" s="22"/>
      <c r="X58" s="22"/>
      <c r="Y58" s="22"/>
      <c r="Z58" s="22"/>
      <c r="AA58" s="22"/>
      <c r="AB58" s="22"/>
      <c r="AC58" s="22"/>
      <c r="AD58" s="22"/>
    </row>
    <row r="59" spans="2:30" ht="15.5">
      <c r="B59" s="452" t="s">
        <v>32</v>
      </c>
      <c r="C59" s="446">
        <v>1</v>
      </c>
      <c r="D59" s="446">
        <v>0</v>
      </c>
      <c r="E59" s="496" t="str">
        <f>'Buildings policies'!E25</f>
        <v/>
      </c>
      <c r="F59" s="144"/>
      <c r="G59" s="144"/>
      <c r="L59" s="144"/>
      <c r="O59" s="41"/>
      <c r="P59" s="41"/>
      <c r="Q59" s="22"/>
      <c r="R59" s="22"/>
      <c r="S59" s="22"/>
      <c r="T59" s="22"/>
      <c r="U59" s="22"/>
      <c r="V59" s="22"/>
      <c r="W59" s="22"/>
      <c r="X59" s="22"/>
      <c r="Y59" s="22"/>
      <c r="Z59" s="22"/>
      <c r="AA59" s="22"/>
      <c r="AB59" s="22"/>
      <c r="AC59" s="22"/>
      <c r="AD59" s="22"/>
    </row>
    <row r="60" spans="2:30" ht="15.5">
      <c r="B60" s="452" t="s">
        <v>33</v>
      </c>
      <c r="C60" s="446">
        <v>1</v>
      </c>
      <c r="D60" s="446">
        <v>0.75</v>
      </c>
      <c r="E60" s="454" t="str">
        <f>'Buildings policies'!E27</f>
        <v/>
      </c>
      <c r="F60" s="144"/>
      <c r="G60" s="144"/>
      <c r="L60" s="144"/>
      <c r="O60" s="41"/>
      <c r="P60" s="41"/>
      <c r="Q60" s="22"/>
      <c r="R60" s="22"/>
      <c r="S60" s="22"/>
      <c r="T60" s="22"/>
      <c r="U60" s="22"/>
      <c r="V60" s="22"/>
      <c r="W60" s="22"/>
      <c r="X60" s="22"/>
      <c r="Y60" s="22"/>
      <c r="Z60" s="22"/>
      <c r="AA60" s="22"/>
      <c r="AB60" s="22"/>
      <c r="AC60" s="22"/>
      <c r="AD60" s="22"/>
    </row>
    <row r="61" spans="2:30" ht="15.5">
      <c r="B61" s="452" t="s">
        <v>34</v>
      </c>
      <c r="C61" s="446">
        <v>1</v>
      </c>
      <c r="D61" s="446">
        <v>0.5</v>
      </c>
      <c r="E61" s="496" t="str">
        <f>'Buildings policies'!E26</f>
        <v/>
      </c>
      <c r="F61" s="144"/>
      <c r="G61" s="144"/>
      <c r="L61" s="144"/>
      <c r="O61" s="41"/>
      <c r="P61" s="41"/>
      <c r="Q61" s="22"/>
      <c r="R61" s="22"/>
      <c r="S61" s="22"/>
      <c r="T61" s="22"/>
      <c r="U61" s="22"/>
      <c r="V61" s="22"/>
      <c r="W61" s="22"/>
      <c r="X61" s="22"/>
      <c r="Y61" s="22"/>
      <c r="Z61" s="22"/>
      <c r="AA61" s="22"/>
      <c r="AB61" s="22"/>
      <c r="AC61" s="22"/>
      <c r="AD61" s="22"/>
    </row>
    <row r="62" spans="2:30" ht="15.5">
      <c r="B62" s="450" t="s">
        <v>258</v>
      </c>
      <c r="C62" s="445">
        <v>15</v>
      </c>
      <c r="D62" s="445">
        <v>2</v>
      </c>
      <c r="E62" s="451">
        <f>E63</f>
        <v>0</v>
      </c>
      <c r="F62" s="144"/>
      <c r="G62" s="144"/>
      <c r="L62" s="144"/>
      <c r="O62" s="41"/>
      <c r="P62" s="41"/>
      <c r="Q62" s="22"/>
      <c r="R62" s="22"/>
      <c r="S62" s="22"/>
      <c r="T62" s="22"/>
      <c r="U62" s="22"/>
      <c r="V62" s="22"/>
      <c r="W62" s="22"/>
      <c r="X62" s="22"/>
      <c r="Y62" s="22"/>
      <c r="Z62" s="22"/>
      <c r="AA62" s="22"/>
      <c r="AB62" s="22"/>
      <c r="AC62" s="22"/>
      <c r="AD62" s="22"/>
    </row>
    <row r="63" spans="2:30" ht="15.5">
      <c r="B63" s="452" t="s">
        <v>258</v>
      </c>
      <c r="C63" s="446">
        <v>12</v>
      </c>
      <c r="D63" s="446">
        <v>2</v>
      </c>
      <c r="E63" s="454">
        <f>SUM('Buildings policies'!E31:E44)</f>
        <v>0</v>
      </c>
      <c r="F63" s="144"/>
      <c r="G63" s="144"/>
      <c r="L63" s="144"/>
      <c r="O63" s="41"/>
      <c r="P63" s="41"/>
      <c r="Q63" s="22"/>
      <c r="R63" s="22"/>
      <c r="S63" s="22"/>
      <c r="T63" s="22"/>
      <c r="U63" s="22"/>
      <c r="V63" s="22"/>
      <c r="W63" s="22"/>
      <c r="X63" s="22"/>
      <c r="Y63" s="22"/>
      <c r="Z63" s="22"/>
      <c r="AA63" s="22"/>
      <c r="AB63" s="22"/>
      <c r="AC63" s="22"/>
      <c r="AD63" s="22"/>
    </row>
    <row r="64" spans="2:30" ht="15.5">
      <c r="B64" s="452" t="s">
        <v>737</v>
      </c>
      <c r="C64" s="446">
        <v>3</v>
      </c>
      <c r="D64" s="446">
        <v>0</v>
      </c>
      <c r="E64" s="454">
        <f>SUM('Buildings policies'!E45:E48)</f>
        <v>0</v>
      </c>
      <c r="F64" s="144"/>
      <c r="G64" s="144"/>
      <c r="L64" s="144"/>
      <c r="O64" s="41"/>
      <c r="P64" s="41"/>
      <c r="Q64" s="22"/>
      <c r="R64" s="22"/>
      <c r="S64" s="22"/>
      <c r="T64" s="22"/>
      <c r="U64" s="22"/>
      <c r="V64" s="22"/>
      <c r="W64" s="22"/>
      <c r="X64" s="22"/>
      <c r="Y64" s="22"/>
      <c r="Z64" s="22"/>
      <c r="AA64" s="22"/>
      <c r="AB64" s="22"/>
      <c r="AC64" s="22"/>
      <c r="AD64" s="22"/>
    </row>
    <row r="65" spans="1:37" ht="15.5">
      <c r="B65" s="450" t="s">
        <v>738</v>
      </c>
      <c r="C65" s="445">
        <v>2</v>
      </c>
      <c r="D65" s="445">
        <v>0</v>
      </c>
      <c r="E65" s="451">
        <f>SUM(E66:E67)</f>
        <v>0</v>
      </c>
      <c r="F65" s="144"/>
      <c r="G65" s="144"/>
      <c r="L65" s="144"/>
      <c r="O65" s="41"/>
      <c r="P65" s="41"/>
      <c r="Q65" s="22"/>
      <c r="R65" s="22"/>
      <c r="S65" s="22"/>
      <c r="T65" s="22"/>
      <c r="U65" s="22"/>
      <c r="V65" s="22"/>
      <c r="W65" s="22"/>
      <c r="X65" s="22"/>
      <c r="Y65" s="22"/>
      <c r="Z65" s="22"/>
      <c r="AA65" s="22"/>
      <c r="AB65" s="22"/>
      <c r="AC65" s="22"/>
      <c r="AD65" s="22"/>
    </row>
    <row r="66" spans="1:37" ht="15.5">
      <c r="B66" s="452" t="s">
        <v>57</v>
      </c>
      <c r="C66" s="446">
        <v>1</v>
      </c>
      <c r="D66" s="446">
        <v>0</v>
      </c>
      <c r="E66" s="454">
        <f>SUM('Buildings policies'!E52:E53)</f>
        <v>0</v>
      </c>
      <c r="F66" s="144"/>
      <c r="G66" s="144"/>
      <c r="L66" s="144"/>
      <c r="O66" s="41"/>
      <c r="P66" s="41"/>
      <c r="Q66" s="22"/>
      <c r="R66" s="22"/>
      <c r="S66" s="22"/>
      <c r="T66" s="22"/>
      <c r="U66" s="22"/>
      <c r="V66" s="22"/>
      <c r="W66" s="22"/>
      <c r="X66" s="22"/>
      <c r="Y66" s="22"/>
      <c r="Z66" s="22"/>
      <c r="AA66" s="22"/>
      <c r="AB66" s="22"/>
      <c r="AC66" s="22"/>
      <c r="AD66" s="22"/>
    </row>
    <row r="67" spans="1:37" ht="15.5">
      <c r="B67" s="452" t="s">
        <v>59</v>
      </c>
      <c r="C67" s="446">
        <v>1</v>
      </c>
      <c r="D67" s="446">
        <v>0</v>
      </c>
      <c r="E67" s="454">
        <f>SUM('Buildings policies'!E54:E55)</f>
        <v>0</v>
      </c>
      <c r="F67" s="144"/>
      <c r="G67" s="144"/>
      <c r="L67" s="144"/>
      <c r="O67" s="41"/>
      <c r="P67" s="41"/>
      <c r="Q67" s="22"/>
      <c r="R67" s="22"/>
      <c r="S67" s="22"/>
      <c r="T67" s="22"/>
      <c r="U67" s="22"/>
      <c r="V67" s="22"/>
      <c r="W67" s="22"/>
      <c r="X67" s="22"/>
      <c r="Y67" s="22"/>
      <c r="Z67" s="22"/>
      <c r="AA67" s="22"/>
      <c r="AB67" s="22"/>
      <c r="AC67" s="22"/>
      <c r="AD67" s="22"/>
    </row>
    <row r="68" spans="1:37" ht="15.5">
      <c r="B68" s="449" t="s">
        <v>61</v>
      </c>
      <c r="C68" s="444">
        <v>30</v>
      </c>
      <c r="D68" s="444">
        <v>7.5</v>
      </c>
      <c r="E68" s="459">
        <f>SUM(E69,E74,E78,E83,E86,E92,E94,E98)</f>
        <v>0</v>
      </c>
      <c r="F68" s="144"/>
      <c r="G68" s="144"/>
      <c r="L68" s="144"/>
      <c r="O68" s="41"/>
      <c r="P68" s="41"/>
      <c r="Q68" s="22"/>
      <c r="R68" s="22"/>
      <c r="S68" s="22"/>
      <c r="T68" s="22"/>
      <c r="U68" s="22"/>
      <c r="V68" s="22"/>
      <c r="W68" s="22"/>
      <c r="X68" s="22"/>
      <c r="Y68" s="22"/>
      <c r="Z68" s="22"/>
      <c r="AA68" s="22"/>
      <c r="AB68" s="22"/>
      <c r="AC68" s="22"/>
      <c r="AD68" s="22"/>
    </row>
    <row r="69" spans="1:37" ht="15.5">
      <c r="B69" s="450" t="s">
        <v>739</v>
      </c>
      <c r="C69" s="445">
        <v>4</v>
      </c>
      <c r="D69" s="445">
        <v>1</v>
      </c>
      <c r="E69" s="451">
        <f>SUM(E70:E73)</f>
        <v>0</v>
      </c>
      <c r="F69" s="144"/>
      <c r="G69" s="144"/>
      <c r="L69" s="144"/>
      <c r="O69" s="41"/>
      <c r="P69" s="41"/>
      <c r="Q69" s="22"/>
      <c r="R69" s="22"/>
      <c r="S69" s="22"/>
      <c r="T69" s="22"/>
      <c r="U69" s="22"/>
      <c r="V69" s="22"/>
      <c r="W69" s="22"/>
      <c r="X69" s="22"/>
      <c r="Y69" s="22"/>
      <c r="Z69" s="22"/>
      <c r="AA69" s="22"/>
      <c r="AB69" s="22"/>
      <c r="AC69" s="22"/>
      <c r="AD69" s="22"/>
    </row>
    <row r="70" spans="1:37" ht="15.5">
      <c r="B70" s="452" t="s">
        <v>62</v>
      </c>
      <c r="C70" s="446">
        <v>1</v>
      </c>
      <c r="D70" s="446">
        <v>1</v>
      </c>
      <c r="E70" s="454" t="str">
        <f>'Transportation policies'!E34</f>
        <v/>
      </c>
      <c r="F70" s="144"/>
      <c r="G70" s="144"/>
      <c r="L70" s="144"/>
      <c r="O70" s="41"/>
      <c r="P70" s="41"/>
      <c r="Q70" s="22"/>
      <c r="R70" s="22"/>
      <c r="S70" s="22"/>
      <c r="T70" s="22"/>
      <c r="U70" s="22"/>
      <c r="V70" s="22"/>
      <c r="W70" s="22"/>
      <c r="X70" s="22"/>
      <c r="Y70" s="22"/>
      <c r="Z70" s="22"/>
      <c r="AA70" s="22"/>
      <c r="AB70" s="22"/>
      <c r="AC70" s="22"/>
      <c r="AD70" s="22"/>
    </row>
    <row r="71" spans="1:37" ht="15.5">
      <c r="B71" s="452" t="s">
        <v>63</v>
      </c>
      <c r="C71" s="446">
        <v>1</v>
      </c>
      <c r="D71" s="446">
        <v>0</v>
      </c>
      <c r="E71" s="454" t="str">
        <f>'Transportation policies'!E35</f>
        <v/>
      </c>
      <c r="F71" s="144"/>
      <c r="G71" s="144"/>
      <c r="L71" s="144"/>
      <c r="O71" s="41"/>
      <c r="P71" s="41"/>
      <c r="Q71" s="22"/>
      <c r="R71" s="22"/>
      <c r="S71" s="22"/>
      <c r="T71" s="22"/>
      <c r="U71" s="22"/>
      <c r="V71" s="22"/>
      <c r="W71" s="22"/>
      <c r="X71" s="22"/>
      <c r="Y71" s="22"/>
      <c r="Z71" s="22"/>
      <c r="AA71" s="22"/>
      <c r="AB71" s="22"/>
      <c r="AC71" s="22"/>
      <c r="AD71" s="22"/>
    </row>
    <row r="72" spans="1:37" ht="15.5">
      <c r="B72" s="452" t="s">
        <v>64</v>
      </c>
      <c r="C72" s="446">
        <v>1</v>
      </c>
      <c r="D72" s="446">
        <v>0</v>
      </c>
      <c r="E72" s="454" t="str">
        <f>'Transportation policies'!E36</f>
        <v/>
      </c>
      <c r="F72" s="144"/>
      <c r="G72" s="144"/>
      <c r="L72" s="144"/>
      <c r="O72" s="41"/>
      <c r="P72" s="41"/>
      <c r="Q72" s="22"/>
      <c r="R72" s="22"/>
      <c r="S72" s="22"/>
      <c r="T72" s="22"/>
      <c r="U72" s="22"/>
      <c r="V72" s="22"/>
      <c r="W72" s="22"/>
      <c r="X72" s="22"/>
      <c r="Y72" s="22"/>
      <c r="Z72" s="22"/>
      <c r="AA72" s="22"/>
      <c r="AB72" s="22"/>
      <c r="AC72" s="22"/>
      <c r="AD72" s="22"/>
    </row>
    <row r="73" spans="1:37" ht="15.5">
      <c r="B73" s="452" t="s">
        <v>65</v>
      </c>
      <c r="C73" s="446">
        <v>1</v>
      </c>
      <c r="D73" s="446">
        <v>0</v>
      </c>
      <c r="E73" s="496" t="str">
        <f>'Transportation policies'!E37</f>
        <v/>
      </c>
      <c r="F73" s="144"/>
      <c r="G73" s="144"/>
      <c r="L73" s="144"/>
      <c r="O73" s="41"/>
      <c r="P73" s="41"/>
      <c r="Q73" s="22"/>
      <c r="R73" s="22"/>
      <c r="S73" s="22"/>
      <c r="T73" s="22"/>
      <c r="U73" s="22"/>
      <c r="V73" s="22"/>
      <c r="W73" s="22"/>
      <c r="X73" s="22"/>
      <c r="Y73" s="22"/>
      <c r="Z73" s="22"/>
      <c r="AA73" s="22"/>
      <c r="AB73" s="22"/>
      <c r="AC73" s="22"/>
      <c r="AD73" s="22"/>
    </row>
    <row r="74" spans="1:37" ht="15.5">
      <c r="B74" s="450" t="s">
        <v>406</v>
      </c>
      <c r="C74" s="445">
        <v>6</v>
      </c>
      <c r="D74" s="445">
        <v>2.5</v>
      </c>
      <c r="E74" s="451">
        <f>SUM(E75:E77)</f>
        <v>0</v>
      </c>
      <c r="F74" s="144"/>
      <c r="G74" s="144"/>
      <c r="L74" s="144"/>
      <c r="O74" s="41"/>
      <c r="P74" s="41"/>
      <c r="Q74" s="22"/>
      <c r="R74" s="22"/>
      <c r="S74" s="22"/>
      <c r="T74" s="22"/>
      <c r="U74" s="22"/>
      <c r="V74" s="22"/>
      <c r="W74" s="22"/>
      <c r="X74" s="22"/>
      <c r="Y74" s="22"/>
      <c r="Z74" s="22"/>
      <c r="AA74" s="22"/>
      <c r="AB74" s="22"/>
      <c r="AC74" s="22"/>
      <c r="AD74" s="22"/>
    </row>
    <row r="75" spans="1:37" ht="15.5">
      <c r="B75" s="452" t="s">
        <v>66</v>
      </c>
      <c r="C75" s="446">
        <v>2</v>
      </c>
      <c r="D75" s="446">
        <v>1</v>
      </c>
      <c r="E75" s="454" t="str">
        <f>'Transportation policies'!E42</f>
        <v/>
      </c>
      <c r="F75" s="144"/>
      <c r="G75" s="144"/>
      <c r="L75" s="144"/>
      <c r="O75" s="41"/>
      <c r="P75" s="41"/>
      <c r="Q75" s="22"/>
      <c r="R75" s="22"/>
      <c r="S75" s="22"/>
      <c r="T75" s="22"/>
      <c r="U75" s="22"/>
      <c r="V75" s="22"/>
      <c r="W75" s="22"/>
      <c r="X75" s="22"/>
      <c r="Y75" s="22"/>
      <c r="Z75" s="22"/>
      <c r="AA75" s="22"/>
      <c r="AB75" s="22"/>
      <c r="AC75" s="22"/>
      <c r="AD75" s="22"/>
    </row>
    <row r="76" spans="1:37" s="1" customFormat="1" ht="15" customHeight="1">
      <c r="A76" s="229"/>
      <c r="B76" s="452" t="s">
        <v>67</v>
      </c>
      <c r="C76" s="446">
        <v>2</v>
      </c>
      <c r="D76" s="446">
        <v>1</v>
      </c>
      <c r="E76" s="454" t="str">
        <f>'Transportation policies'!E41</f>
        <v/>
      </c>
      <c r="F76" s="144"/>
      <c r="G76" s="229"/>
      <c r="H76" s="229"/>
      <c r="I76" s="229"/>
      <c r="J76" s="229"/>
      <c r="K76" s="229"/>
      <c r="L76" s="229"/>
      <c r="M76" s="41"/>
      <c r="N76" s="41"/>
      <c r="O76" s="41"/>
      <c r="P76" s="41"/>
      <c r="Q76" s="22"/>
      <c r="R76" s="22"/>
      <c r="S76" s="22"/>
      <c r="T76" s="22"/>
      <c r="U76" s="22"/>
      <c r="V76" s="22"/>
      <c r="W76" s="22"/>
      <c r="X76" s="22"/>
      <c r="Y76" s="22"/>
      <c r="Z76" s="22"/>
      <c r="AA76" s="22"/>
      <c r="AB76" s="22"/>
      <c r="AC76" s="22"/>
      <c r="AD76" s="22"/>
      <c r="AE76" s="96"/>
      <c r="AF76" s="96"/>
      <c r="AG76" s="96"/>
      <c r="AH76" s="96"/>
      <c r="AI76" s="96"/>
      <c r="AJ76" s="97"/>
      <c r="AK76" s="97"/>
    </row>
    <row r="77" spans="1:37" s="1" customFormat="1" ht="15.5">
      <c r="A77" s="229"/>
      <c r="B77" s="452" t="s">
        <v>740</v>
      </c>
      <c r="C77" s="446">
        <v>2</v>
      </c>
      <c r="D77" s="446">
        <v>0</v>
      </c>
      <c r="E77" s="454" t="str">
        <f>'Transportation policies'!E43</f>
        <v/>
      </c>
      <c r="F77" s="229"/>
      <c r="G77" s="229"/>
      <c r="H77" s="229"/>
      <c r="I77" s="229"/>
      <c r="J77" s="229"/>
      <c r="K77" s="229"/>
      <c r="L77" s="144"/>
      <c r="M77" s="22"/>
      <c r="N77" s="22"/>
      <c r="O77" s="22"/>
      <c r="P77" s="22"/>
      <c r="Q77" s="22"/>
      <c r="R77" s="22"/>
      <c r="S77" s="22"/>
      <c r="T77" s="22"/>
      <c r="U77" s="22"/>
      <c r="V77" s="22"/>
      <c r="W77" s="22"/>
      <c r="X77" s="22"/>
      <c r="Y77" s="22"/>
      <c r="Z77" s="96"/>
      <c r="AA77" s="96"/>
      <c r="AB77" s="96"/>
      <c r="AC77" s="96"/>
      <c r="AD77" s="96"/>
      <c r="AE77" s="97"/>
      <c r="AF77" s="97"/>
    </row>
    <row r="78" spans="1:37" s="1" customFormat="1" ht="15.5">
      <c r="A78" s="229"/>
      <c r="B78" s="450" t="s">
        <v>741</v>
      </c>
      <c r="C78" s="445">
        <v>4</v>
      </c>
      <c r="D78" s="445">
        <v>1.5</v>
      </c>
      <c r="E78" s="451">
        <f>SUM(E79:E82)</f>
        <v>0</v>
      </c>
      <c r="F78" s="229"/>
      <c r="G78" s="229"/>
      <c r="H78" s="229"/>
      <c r="I78" s="229"/>
      <c r="J78" s="229"/>
      <c r="K78" s="229"/>
      <c r="L78" s="144"/>
      <c r="M78" s="22"/>
      <c r="N78" s="22"/>
      <c r="O78" s="22"/>
      <c r="P78" s="22"/>
      <c r="Q78" s="22"/>
      <c r="R78" s="22"/>
      <c r="S78" s="22"/>
      <c r="T78" s="22"/>
      <c r="U78" s="22"/>
      <c r="V78" s="22"/>
      <c r="W78" s="22"/>
      <c r="X78" s="22"/>
      <c r="Y78" s="22"/>
      <c r="Z78" s="96"/>
      <c r="AA78" s="96"/>
      <c r="AB78" s="96"/>
      <c r="AC78" s="96"/>
      <c r="AD78" s="96"/>
      <c r="AE78" s="97"/>
      <c r="AF78" s="97"/>
    </row>
    <row r="79" spans="1:37" s="1" customFormat="1" ht="15.5">
      <c r="A79" s="229"/>
      <c r="B79" s="452" t="s">
        <v>69</v>
      </c>
      <c r="C79" s="446">
        <v>1</v>
      </c>
      <c r="D79" s="446">
        <v>0</v>
      </c>
      <c r="E79" s="454" t="str">
        <f>'Transportation policies'!E47</f>
        <v/>
      </c>
      <c r="F79" s="229"/>
      <c r="G79" s="229"/>
      <c r="H79" s="229"/>
      <c r="I79" s="229"/>
      <c r="J79" s="229"/>
      <c r="K79" s="229"/>
      <c r="L79" s="144"/>
      <c r="M79" s="22"/>
      <c r="N79" s="22"/>
      <c r="O79" s="22"/>
      <c r="P79" s="22"/>
      <c r="Q79" s="22"/>
      <c r="R79" s="22"/>
      <c r="S79" s="22"/>
      <c r="T79" s="22"/>
      <c r="U79" s="22"/>
      <c r="V79" s="22"/>
      <c r="W79" s="22"/>
      <c r="X79" s="22"/>
      <c r="Y79" s="22"/>
      <c r="Z79" s="96"/>
      <c r="AA79" s="96"/>
      <c r="AB79" s="96"/>
      <c r="AC79" s="96"/>
      <c r="AD79" s="96"/>
      <c r="AE79" s="97"/>
      <c r="AF79" s="97"/>
    </row>
    <row r="80" spans="1:37" s="1" customFormat="1" ht="15.5">
      <c r="A80" s="229"/>
      <c r="B80" s="452" t="s">
        <v>742</v>
      </c>
      <c r="C80" s="446">
        <v>1</v>
      </c>
      <c r="D80" s="446">
        <v>0</v>
      </c>
      <c r="E80" s="496" t="str">
        <f>'Transportation policies'!E48</f>
        <v/>
      </c>
      <c r="F80" s="229"/>
      <c r="G80" s="229"/>
      <c r="H80" s="229"/>
      <c r="I80" s="229"/>
      <c r="J80" s="229"/>
      <c r="K80" s="229"/>
      <c r="L80" s="144"/>
      <c r="M80" s="22"/>
      <c r="N80" s="22"/>
      <c r="O80" s="22"/>
      <c r="P80" s="22"/>
      <c r="Q80" s="22"/>
      <c r="R80" s="22"/>
      <c r="S80" s="22"/>
      <c r="T80" s="22"/>
      <c r="U80" s="22"/>
      <c r="V80" s="22"/>
      <c r="W80" s="22"/>
      <c r="X80" s="22"/>
      <c r="Y80" s="22"/>
      <c r="Z80" s="96"/>
      <c r="AA80" s="96"/>
      <c r="AB80" s="96"/>
      <c r="AC80" s="96"/>
      <c r="AD80" s="96"/>
      <c r="AE80" s="97"/>
      <c r="AF80" s="97"/>
    </row>
    <row r="81" spans="1:32" s="1" customFormat="1" ht="15.5">
      <c r="A81" s="229"/>
      <c r="B81" s="452" t="s">
        <v>71</v>
      </c>
      <c r="C81" s="446">
        <v>1</v>
      </c>
      <c r="D81" s="446">
        <v>1</v>
      </c>
      <c r="E81" s="454" t="str">
        <f>'Transportation policies'!E49</f>
        <v/>
      </c>
      <c r="F81" s="229"/>
      <c r="G81" s="229"/>
      <c r="H81" s="229"/>
      <c r="I81" s="229"/>
      <c r="J81" s="229"/>
      <c r="K81" s="229"/>
      <c r="L81" s="144"/>
      <c r="M81" s="22"/>
      <c r="N81" s="22"/>
      <c r="O81" s="22"/>
      <c r="P81" s="22"/>
      <c r="Q81" s="22"/>
      <c r="R81" s="22"/>
      <c r="S81" s="22"/>
      <c r="T81" s="22"/>
      <c r="U81" s="22"/>
      <c r="V81" s="22"/>
      <c r="W81" s="22"/>
      <c r="X81" s="22"/>
      <c r="Y81" s="22"/>
      <c r="Z81" s="96"/>
      <c r="AA81" s="96"/>
      <c r="AB81" s="96"/>
      <c r="AC81" s="96"/>
      <c r="AD81" s="96"/>
      <c r="AE81" s="97"/>
      <c r="AF81" s="97"/>
    </row>
    <row r="82" spans="1:32" s="1" customFormat="1" ht="15.5">
      <c r="A82" s="229"/>
      <c r="B82" s="452" t="s">
        <v>743</v>
      </c>
      <c r="C82" s="446">
        <v>1</v>
      </c>
      <c r="D82" s="446">
        <v>0.5</v>
      </c>
      <c r="E82" s="454" t="str">
        <f>'Transportation policies'!E50</f>
        <v/>
      </c>
      <c r="F82" s="229"/>
      <c r="G82" s="229"/>
      <c r="H82" s="229"/>
      <c r="I82" s="229"/>
      <c r="J82" s="229"/>
      <c r="K82" s="229"/>
      <c r="L82" s="144"/>
      <c r="M82" s="22"/>
      <c r="N82" s="22"/>
      <c r="O82" s="22"/>
      <c r="P82" s="22"/>
      <c r="Q82" s="22"/>
      <c r="R82" s="22"/>
      <c r="S82" s="22"/>
      <c r="T82" s="22"/>
      <c r="U82" s="22"/>
      <c r="V82" s="22"/>
      <c r="W82" s="22"/>
      <c r="X82" s="22"/>
      <c r="Y82" s="22"/>
      <c r="Z82" s="96"/>
      <c r="AA82" s="96"/>
      <c r="AB82" s="96"/>
      <c r="AC82" s="96"/>
      <c r="AD82" s="96"/>
      <c r="AE82" s="97"/>
      <c r="AF82" s="97"/>
    </row>
    <row r="83" spans="1:32" s="1" customFormat="1" ht="15.5">
      <c r="A83" s="229"/>
      <c r="B83" s="450" t="s">
        <v>408</v>
      </c>
      <c r="C83" s="445">
        <v>4</v>
      </c>
      <c r="D83" s="445">
        <v>1</v>
      </c>
      <c r="E83" s="451">
        <f>SUM(E84:E85)</f>
        <v>0</v>
      </c>
      <c r="F83" s="229"/>
      <c r="G83" s="229"/>
      <c r="H83" s="229"/>
      <c r="I83" s="229"/>
      <c r="J83" s="229"/>
      <c r="K83" s="229"/>
      <c r="L83" s="144"/>
      <c r="M83" s="22"/>
      <c r="N83" s="22"/>
      <c r="O83" s="22"/>
      <c r="P83" s="22"/>
      <c r="Q83" s="22"/>
      <c r="R83" s="22"/>
      <c r="S83" s="22"/>
      <c r="T83" s="22"/>
      <c r="U83" s="22"/>
      <c r="V83" s="22"/>
      <c r="W83" s="22"/>
      <c r="X83" s="22"/>
      <c r="Y83" s="22"/>
      <c r="Z83" s="96"/>
      <c r="AA83" s="96"/>
      <c r="AB83" s="96"/>
      <c r="AC83" s="96"/>
      <c r="AD83" s="96"/>
      <c r="AE83" s="97"/>
      <c r="AF83" s="97"/>
    </row>
    <row r="84" spans="1:32" s="1" customFormat="1" ht="15.5">
      <c r="A84" s="229"/>
      <c r="B84" s="452" t="s">
        <v>73</v>
      </c>
      <c r="C84" s="446">
        <v>2</v>
      </c>
      <c r="D84" s="446">
        <v>0.5</v>
      </c>
      <c r="E84" s="454" t="str">
        <f>'Transportation policies'!E54</f>
        <v/>
      </c>
      <c r="F84" s="229"/>
      <c r="G84" s="229"/>
      <c r="H84" s="229"/>
      <c r="I84" s="229"/>
      <c r="J84" s="229"/>
      <c r="K84" s="229"/>
      <c r="L84" s="144"/>
      <c r="M84" s="22"/>
      <c r="N84" s="22"/>
      <c r="O84" s="22"/>
      <c r="P84" s="22"/>
      <c r="Q84" s="22"/>
      <c r="R84" s="22"/>
      <c r="S84" s="22"/>
      <c r="T84" s="22"/>
      <c r="U84" s="22"/>
      <c r="V84" s="22"/>
      <c r="W84" s="22"/>
      <c r="X84" s="22"/>
      <c r="Y84" s="22"/>
      <c r="Z84" s="96"/>
      <c r="AA84" s="96"/>
      <c r="AB84" s="96"/>
      <c r="AC84" s="96"/>
      <c r="AD84" s="96"/>
      <c r="AE84" s="97"/>
      <c r="AF84" s="97"/>
    </row>
    <row r="85" spans="1:32" s="1" customFormat="1" ht="16" customHeight="1">
      <c r="A85" s="229"/>
      <c r="B85" s="452" t="s">
        <v>744</v>
      </c>
      <c r="C85" s="446">
        <v>2</v>
      </c>
      <c r="D85" s="446">
        <v>0.5</v>
      </c>
      <c r="E85" s="454" t="str">
        <f>'Transportation policies'!E55</f>
        <v/>
      </c>
      <c r="F85" s="229"/>
      <c r="G85" s="229"/>
      <c r="H85" s="229"/>
      <c r="I85" s="229"/>
      <c r="J85" s="229"/>
      <c r="K85" s="229"/>
      <c r="L85" s="144"/>
      <c r="M85" s="22"/>
      <c r="N85" s="22"/>
      <c r="O85" s="22"/>
      <c r="P85" s="22"/>
      <c r="Q85" s="22"/>
      <c r="R85" s="22"/>
      <c r="S85" s="22"/>
      <c r="T85" s="22"/>
      <c r="U85" s="22"/>
      <c r="V85" s="22"/>
      <c r="W85" s="22"/>
      <c r="X85" s="22"/>
      <c r="Y85" s="22"/>
      <c r="Z85" s="96"/>
      <c r="AA85" s="96"/>
      <c r="AB85" s="96"/>
      <c r="AC85" s="96"/>
      <c r="AD85" s="96"/>
      <c r="AE85" s="97"/>
      <c r="AF85" s="97"/>
    </row>
    <row r="86" spans="1:32" s="1" customFormat="1" ht="15.5">
      <c r="A86" s="229"/>
      <c r="B86" s="450" t="s">
        <v>745</v>
      </c>
      <c r="C86" s="445">
        <v>4</v>
      </c>
      <c r="D86" s="445">
        <v>1</v>
      </c>
      <c r="E86" s="451">
        <f>SUM(E87:E91)</f>
        <v>0</v>
      </c>
      <c r="F86" s="229"/>
      <c r="G86" s="229"/>
      <c r="H86" s="229"/>
      <c r="I86" s="229"/>
      <c r="J86" s="229"/>
      <c r="K86" s="229"/>
      <c r="L86" s="144"/>
      <c r="M86" s="22"/>
      <c r="N86" s="22"/>
      <c r="O86" s="22"/>
      <c r="P86" s="22"/>
      <c r="Q86" s="22"/>
      <c r="R86" s="22"/>
      <c r="S86" s="22"/>
      <c r="T86" s="22"/>
      <c r="U86" s="22"/>
      <c r="V86" s="22"/>
      <c r="W86" s="22"/>
      <c r="X86" s="22"/>
      <c r="Y86" s="22"/>
      <c r="Z86" s="96"/>
      <c r="AA86" s="96"/>
      <c r="AB86" s="96"/>
      <c r="AC86" s="96"/>
      <c r="AD86" s="96"/>
      <c r="AE86" s="97"/>
      <c r="AF86" s="97"/>
    </row>
    <row r="87" spans="1:32" s="1" customFormat="1" ht="15.5">
      <c r="A87" s="229"/>
      <c r="B87" s="452" t="s">
        <v>76</v>
      </c>
      <c r="C87" s="446">
        <v>1</v>
      </c>
      <c r="D87" s="446">
        <v>0</v>
      </c>
      <c r="E87" s="454" t="str">
        <f>'Transportation policies'!E59</f>
        <v/>
      </c>
      <c r="F87" s="229"/>
      <c r="G87" s="229"/>
      <c r="H87" s="229"/>
      <c r="I87" s="229"/>
      <c r="J87" s="229"/>
      <c r="K87" s="229"/>
      <c r="L87" s="144"/>
      <c r="M87" s="22"/>
      <c r="N87" s="22"/>
      <c r="O87" s="22"/>
      <c r="P87" s="22"/>
      <c r="Q87" s="22"/>
      <c r="R87" s="22"/>
      <c r="S87" s="22"/>
      <c r="T87" s="22"/>
      <c r="U87" s="22"/>
      <c r="V87" s="22"/>
      <c r="W87" s="22"/>
      <c r="X87" s="22"/>
      <c r="Y87" s="22"/>
      <c r="Z87" s="96"/>
      <c r="AA87" s="96"/>
      <c r="AB87" s="96"/>
      <c r="AC87" s="96"/>
      <c r="AD87" s="96"/>
      <c r="AE87" s="97"/>
      <c r="AF87" s="97"/>
    </row>
    <row r="88" spans="1:32" s="1" customFormat="1" ht="15.5">
      <c r="A88" s="229"/>
      <c r="B88" s="452" t="s">
        <v>746</v>
      </c>
      <c r="C88" s="446">
        <v>1</v>
      </c>
      <c r="D88" s="446">
        <v>1</v>
      </c>
      <c r="E88" s="454" t="str">
        <f>'Transportation policies'!E60</f>
        <v/>
      </c>
      <c r="F88" s="229"/>
      <c r="G88" s="229"/>
      <c r="H88" s="229"/>
      <c r="I88" s="229"/>
      <c r="J88" s="229"/>
      <c r="K88" s="229"/>
      <c r="L88" s="144"/>
      <c r="M88" s="22"/>
      <c r="N88" s="22"/>
      <c r="O88" s="22"/>
      <c r="P88" s="22"/>
      <c r="Q88" s="22"/>
      <c r="R88" s="22"/>
      <c r="S88" s="22"/>
      <c r="T88" s="22"/>
      <c r="U88" s="22"/>
      <c r="V88" s="22"/>
      <c r="W88" s="22"/>
      <c r="X88" s="22"/>
      <c r="Y88" s="22"/>
      <c r="Z88" s="96"/>
      <c r="AA88" s="96"/>
      <c r="AB88" s="96"/>
      <c r="AC88" s="96"/>
      <c r="AD88" s="96"/>
      <c r="AE88" s="97"/>
      <c r="AF88" s="97"/>
    </row>
    <row r="89" spans="1:32" s="1" customFormat="1" ht="15.5">
      <c r="A89" s="229"/>
      <c r="B89" s="452" t="s">
        <v>449</v>
      </c>
      <c r="C89" s="446">
        <v>1</v>
      </c>
      <c r="D89" s="446">
        <v>0</v>
      </c>
      <c r="E89" s="454" t="str">
        <f>'Transportation policies'!E61</f>
        <v/>
      </c>
      <c r="F89" s="229"/>
      <c r="G89" s="229"/>
      <c r="H89" s="229"/>
      <c r="I89" s="229"/>
      <c r="J89" s="229"/>
      <c r="K89" s="229"/>
      <c r="L89" s="144"/>
      <c r="M89" s="22"/>
      <c r="N89" s="22"/>
      <c r="O89" s="22"/>
      <c r="P89" s="22"/>
      <c r="Q89" s="22"/>
      <c r="R89" s="22"/>
      <c r="S89" s="22"/>
      <c r="T89" s="22"/>
      <c r="U89" s="22"/>
      <c r="V89" s="22"/>
      <c r="W89" s="22"/>
      <c r="X89" s="22"/>
      <c r="Y89" s="22"/>
      <c r="Z89" s="96"/>
      <c r="AA89" s="96"/>
      <c r="AB89" s="96"/>
      <c r="AC89" s="96"/>
      <c r="AD89" s="96"/>
      <c r="AE89" s="97"/>
      <c r="AF89" s="97"/>
    </row>
    <row r="90" spans="1:32" s="1" customFormat="1" ht="15.5">
      <c r="A90" s="229"/>
      <c r="B90" s="452" t="s">
        <v>78</v>
      </c>
      <c r="C90" s="446">
        <v>0.5</v>
      </c>
      <c r="D90" s="446">
        <v>0</v>
      </c>
      <c r="E90" s="496" t="str">
        <f>'Transportation policies'!E62</f>
        <v/>
      </c>
      <c r="F90" s="229"/>
      <c r="G90" s="229"/>
      <c r="H90" s="229"/>
      <c r="I90" s="229"/>
      <c r="J90" s="229"/>
      <c r="K90" s="229"/>
      <c r="L90" s="144"/>
      <c r="M90" s="22"/>
      <c r="N90" s="22"/>
      <c r="O90" s="22"/>
      <c r="P90" s="22"/>
      <c r="Q90" s="22"/>
      <c r="R90" s="22"/>
      <c r="S90" s="22"/>
      <c r="T90" s="22"/>
      <c r="U90" s="22"/>
      <c r="V90" s="22"/>
      <c r="W90" s="22"/>
      <c r="X90" s="22"/>
      <c r="Y90" s="22"/>
      <c r="Z90" s="96"/>
      <c r="AA90" s="96"/>
      <c r="AB90" s="96"/>
      <c r="AC90" s="96"/>
      <c r="AD90" s="96"/>
      <c r="AE90" s="97"/>
      <c r="AF90" s="97"/>
    </row>
    <row r="91" spans="1:32" s="1" customFormat="1" ht="15.5">
      <c r="A91" s="229"/>
      <c r="B91" s="452" t="s">
        <v>79</v>
      </c>
      <c r="C91" s="446">
        <v>0.5</v>
      </c>
      <c r="D91" s="446">
        <v>0</v>
      </c>
      <c r="E91" s="454" t="str">
        <f>'Transportation policies'!E63</f>
        <v/>
      </c>
      <c r="F91" s="229"/>
      <c r="G91" s="229"/>
      <c r="H91" s="229"/>
      <c r="I91" s="229"/>
      <c r="J91" s="229"/>
      <c r="K91" s="229"/>
      <c r="L91" s="144"/>
      <c r="M91" s="22"/>
      <c r="N91" s="22"/>
      <c r="O91" s="22"/>
      <c r="P91" s="22"/>
      <c r="Q91" s="22"/>
      <c r="R91" s="22"/>
      <c r="S91" s="22"/>
      <c r="T91" s="22"/>
      <c r="U91" s="22"/>
      <c r="V91" s="22"/>
      <c r="W91" s="22"/>
      <c r="X91" s="22"/>
      <c r="Y91" s="22"/>
      <c r="Z91" s="96"/>
      <c r="AA91" s="96"/>
      <c r="AB91" s="96"/>
      <c r="AC91" s="96"/>
      <c r="AD91" s="96"/>
      <c r="AE91" s="97"/>
      <c r="AF91" s="97"/>
    </row>
    <row r="92" spans="1:32" s="1" customFormat="1" ht="15.5">
      <c r="A92" s="229"/>
      <c r="B92" s="450" t="s">
        <v>454</v>
      </c>
      <c r="C92" s="445">
        <v>2</v>
      </c>
      <c r="D92" s="445">
        <v>0</v>
      </c>
      <c r="E92" s="451" t="str">
        <f>E93</f>
        <v/>
      </c>
      <c r="F92" s="229"/>
      <c r="G92" s="229"/>
      <c r="H92" s="229"/>
      <c r="I92" s="229"/>
      <c r="J92" s="229"/>
      <c r="K92" s="229"/>
      <c r="L92" s="144"/>
      <c r="M92" s="22"/>
      <c r="N92" s="22"/>
      <c r="O92" s="22"/>
      <c r="P92" s="22"/>
      <c r="Q92" s="22"/>
      <c r="R92" s="22"/>
      <c r="S92" s="22"/>
      <c r="T92" s="22"/>
      <c r="U92" s="22"/>
      <c r="V92" s="22"/>
      <c r="W92" s="22"/>
      <c r="X92" s="22"/>
      <c r="Y92" s="22"/>
      <c r="Z92" s="96"/>
      <c r="AA92" s="96"/>
      <c r="AB92" s="96"/>
      <c r="AC92" s="96"/>
      <c r="AD92" s="96"/>
      <c r="AE92" s="97"/>
      <c r="AF92" s="97"/>
    </row>
    <row r="93" spans="1:32" s="1" customFormat="1" ht="15.5">
      <c r="A93" s="229"/>
      <c r="B93" s="452" t="s">
        <v>455</v>
      </c>
      <c r="C93" s="446">
        <v>2</v>
      </c>
      <c r="D93" s="446">
        <v>0</v>
      </c>
      <c r="E93" s="454" t="str">
        <f>'Transportation policies'!E67</f>
        <v/>
      </c>
      <c r="F93" s="229"/>
      <c r="G93" s="229"/>
      <c r="H93" s="229"/>
      <c r="I93" s="229"/>
      <c r="J93" s="229"/>
      <c r="K93" s="229"/>
      <c r="L93" s="144"/>
      <c r="M93" s="22"/>
      <c r="N93" s="22"/>
      <c r="O93" s="22"/>
      <c r="P93" s="22"/>
      <c r="Q93" s="22"/>
      <c r="R93" s="22"/>
      <c r="S93" s="22"/>
      <c r="T93" s="22"/>
      <c r="U93" s="22"/>
      <c r="V93" s="22"/>
      <c r="W93" s="22"/>
      <c r="X93" s="22"/>
      <c r="Y93" s="22"/>
      <c r="Z93" s="96"/>
      <c r="AA93" s="96"/>
      <c r="AB93" s="96"/>
      <c r="AC93" s="96"/>
      <c r="AD93" s="96"/>
      <c r="AE93" s="97"/>
      <c r="AF93" s="97"/>
    </row>
    <row r="94" spans="1:32" s="1" customFormat="1" ht="15.5">
      <c r="A94" s="229"/>
      <c r="B94" s="450" t="s">
        <v>457</v>
      </c>
      <c r="C94" s="445">
        <v>6</v>
      </c>
      <c r="D94" s="445">
        <v>0.5</v>
      </c>
      <c r="E94" s="451">
        <f>SUM(E95:E97)</f>
        <v>0</v>
      </c>
      <c r="F94" s="229"/>
      <c r="G94" s="229"/>
      <c r="H94" s="229"/>
      <c r="I94" s="229"/>
      <c r="J94" s="229"/>
      <c r="K94" s="229"/>
      <c r="L94" s="144"/>
      <c r="M94" s="22"/>
      <c r="N94" s="22"/>
      <c r="O94" s="22"/>
      <c r="P94" s="22"/>
      <c r="Q94" s="22"/>
      <c r="R94" s="22"/>
      <c r="S94" s="22"/>
      <c r="T94" s="22"/>
      <c r="U94" s="22"/>
      <c r="V94" s="22"/>
      <c r="W94" s="22"/>
      <c r="X94" s="22"/>
      <c r="Y94" s="22"/>
      <c r="Z94" s="96"/>
      <c r="AA94" s="96"/>
      <c r="AB94" s="96"/>
      <c r="AC94" s="96"/>
      <c r="AD94" s="96"/>
      <c r="AE94" s="97"/>
      <c r="AF94" s="97"/>
    </row>
    <row r="95" spans="1:32" s="1" customFormat="1" ht="15.5">
      <c r="A95" s="229"/>
      <c r="B95" s="452" t="s">
        <v>81</v>
      </c>
      <c r="C95" s="446">
        <v>2</v>
      </c>
      <c r="D95" s="446">
        <v>0</v>
      </c>
      <c r="E95" s="496" t="str">
        <f>'Transportation policies'!E71</f>
        <v/>
      </c>
      <c r="F95" s="229"/>
      <c r="G95" s="229"/>
      <c r="H95" s="229"/>
      <c r="I95" s="229"/>
      <c r="J95" s="229"/>
      <c r="K95" s="229"/>
      <c r="L95" s="144"/>
      <c r="M95" s="22"/>
      <c r="N95" s="22"/>
      <c r="O95" s="22"/>
      <c r="P95" s="22"/>
      <c r="Q95" s="22"/>
      <c r="R95" s="22"/>
      <c r="S95" s="22"/>
      <c r="T95" s="22"/>
      <c r="U95" s="22"/>
      <c r="V95" s="22"/>
      <c r="W95" s="22"/>
      <c r="X95" s="22"/>
      <c r="Y95" s="22"/>
      <c r="Z95" s="96"/>
      <c r="AA95" s="96"/>
      <c r="AB95" s="96"/>
      <c r="AC95" s="96"/>
      <c r="AD95" s="96"/>
      <c r="AE95" s="97"/>
      <c r="AF95" s="97"/>
    </row>
    <row r="96" spans="1:32" s="1" customFormat="1" ht="15.5">
      <c r="A96" s="229"/>
      <c r="B96" s="452" t="s">
        <v>83</v>
      </c>
      <c r="C96" s="446">
        <v>2</v>
      </c>
      <c r="D96" s="446">
        <v>0</v>
      </c>
      <c r="E96" s="454" t="str">
        <f>'Transportation policies'!E72</f>
        <v/>
      </c>
      <c r="F96" s="229"/>
      <c r="G96" s="229"/>
      <c r="H96" s="229"/>
      <c r="I96" s="229"/>
      <c r="J96" s="229"/>
      <c r="K96" s="229"/>
      <c r="L96" s="144"/>
      <c r="M96" s="22"/>
      <c r="N96" s="22"/>
      <c r="O96" s="22"/>
      <c r="P96" s="22"/>
      <c r="Q96" s="22"/>
      <c r="R96" s="22"/>
      <c r="S96" s="22"/>
      <c r="T96" s="22"/>
      <c r="U96" s="22"/>
      <c r="V96" s="22"/>
      <c r="W96" s="22"/>
      <c r="X96" s="22"/>
      <c r="Y96" s="22"/>
      <c r="Z96" s="96"/>
      <c r="AA96" s="96"/>
      <c r="AB96" s="96"/>
      <c r="AC96" s="96"/>
      <c r="AD96" s="96"/>
      <c r="AE96" s="97"/>
      <c r="AF96" s="97"/>
    </row>
    <row r="97" spans="1:32" s="1" customFormat="1" ht="15.5">
      <c r="A97" s="229"/>
      <c r="B97" s="452" t="s">
        <v>82</v>
      </c>
      <c r="C97" s="446">
        <v>2</v>
      </c>
      <c r="D97" s="446">
        <v>0.5</v>
      </c>
      <c r="E97" s="454" t="str">
        <f>'Transportation policies'!E73</f>
        <v/>
      </c>
      <c r="F97" s="229"/>
      <c r="G97" s="229"/>
      <c r="H97" s="229"/>
      <c r="I97" s="229"/>
      <c r="J97" s="229"/>
      <c r="K97" s="229"/>
      <c r="L97" s="144"/>
      <c r="M97" s="22"/>
      <c r="N97" s="22"/>
      <c r="O97" s="22"/>
      <c r="P97" s="22"/>
      <c r="Q97" s="22"/>
      <c r="R97" s="22"/>
      <c r="S97" s="22"/>
      <c r="T97" s="22"/>
      <c r="U97" s="22"/>
      <c r="V97" s="22"/>
      <c r="W97" s="22"/>
      <c r="X97" s="22"/>
      <c r="Y97" s="22"/>
      <c r="Z97" s="96"/>
      <c r="AA97" s="96"/>
      <c r="AB97" s="96"/>
      <c r="AC97" s="96"/>
      <c r="AD97" s="96"/>
      <c r="AE97" s="97"/>
      <c r="AF97" s="97"/>
    </row>
    <row r="98" spans="1:32" s="1" customFormat="1" ht="15.5">
      <c r="A98" s="229"/>
      <c r="B98" s="455" t="s">
        <v>747</v>
      </c>
      <c r="C98" s="445" t="s">
        <v>748</v>
      </c>
      <c r="D98" s="445" t="s">
        <v>749</v>
      </c>
      <c r="E98" s="451">
        <f>SUM(E99:E100)</f>
        <v>0</v>
      </c>
      <c r="F98" s="229"/>
      <c r="G98" s="229"/>
      <c r="H98" s="229"/>
      <c r="I98" s="229"/>
      <c r="J98" s="229"/>
      <c r="K98" s="229"/>
      <c r="L98" s="144"/>
      <c r="M98" s="22"/>
      <c r="N98" s="22"/>
      <c r="O98" s="22"/>
      <c r="P98" s="22"/>
      <c r="Q98" s="22"/>
      <c r="R98" s="22"/>
      <c r="S98" s="22"/>
      <c r="T98" s="22"/>
      <c r="U98" s="22"/>
      <c r="V98" s="22"/>
      <c r="W98" s="22"/>
      <c r="X98" s="22"/>
      <c r="Y98" s="22"/>
      <c r="Z98" s="96"/>
      <c r="AA98" s="96"/>
      <c r="AB98" s="96"/>
      <c r="AC98" s="96"/>
      <c r="AD98" s="96"/>
      <c r="AE98" s="97"/>
      <c r="AF98" s="97"/>
    </row>
    <row r="99" spans="1:32" s="1" customFormat="1" ht="15.5">
      <c r="A99" s="229"/>
      <c r="B99" s="452" t="s">
        <v>462</v>
      </c>
      <c r="C99" s="446" t="s">
        <v>750</v>
      </c>
      <c r="D99" s="446" t="s">
        <v>749</v>
      </c>
      <c r="E99" s="451" t="str">
        <f>'Transportation policies'!E77</f>
        <v/>
      </c>
      <c r="F99" s="229"/>
      <c r="G99" s="229"/>
      <c r="H99" s="229"/>
      <c r="I99" s="229"/>
      <c r="J99" s="229"/>
      <c r="K99" s="229"/>
      <c r="L99" s="144"/>
      <c r="M99" s="22"/>
      <c r="N99" s="22"/>
      <c r="O99" s="22"/>
      <c r="P99" s="22"/>
      <c r="Q99" s="22"/>
      <c r="R99" s="22"/>
      <c r="S99" s="22"/>
      <c r="T99" s="22"/>
      <c r="U99" s="22"/>
      <c r="V99" s="22"/>
      <c r="W99" s="22"/>
      <c r="X99" s="22"/>
      <c r="Y99" s="22"/>
      <c r="Z99" s="96"/>
      <c r="AA99" s="96"/>
      <c r="AB99" s="96"/>
      <c r="AC99" s="96"/>
      <c r="AD99" s="96"/>
      <c r="AE99" s="97"/>
      <c r="AF99" s="97"/>
    </row>
    <row r="100" spans="1:32" s="1" customFormat="1" ht="15.5">
      <c r="A100" s="229"/>
      <c r="B100" s="452" t="s">
        <v>85</v>
      </c>
      <c r="C100" s="446" t="s">
        <v>750</v>
      </c>
      <c r="D100" s="446" t="s">
        <v>749</v>
      </c>
      <c r="E100" s="454" t="str">
        <f>'Transportation policies'!E81</f>
        <v/>
      </c>
      <c r="F100" s="229"/>
      <c r="G100" s="229"/>
      <c r="H100" s="229"/>
      <c r="I100" s="229"/>
      <c r="J100" s="229"/>
      <c r="K100" s="229"/>
      <c r="L100" s="144"/>
      <c r="M100" s="22"/>
      <c r="N100" s="22"/>
      <c r="O100" s="22"/>
      <c r="P100" s="22"/>
      <c r="Q100" s="22"/>
      <c r="R100" s="22"/>
      <c r="S100" s="22"/>
      <c r="T100" s="22"/>
      <c r="U100" s="22"/>
      <c r="V100" s="22"/>
      <c r="W100" s="22"/>
      <c r="X100" s="22"/>
      <c r="Y100" s="22"/>
      <c r="Z100" s="96"/>
      <c r="AA100" s="96"/>
      <c r="AB100" s="96"/>
      <c r="AC100" s="96"/>
      <c r="AD100" s="96"/>
      <c r="AE100" s="97"/>
      <c r="AF100" s="97"/>
    </row>
    <row r="101" spans="1:32" s="1" customFormat="1" ht="15.5">
      <c r="A101" s="229"/>
      <c r="B101" s="449" t="s">
        <v>751</v>
      </c>
      <c r="C101" s="444">
        <v>15</v>
      </c>
      <c r="D101" s="444">
        <v>6.5</v>
      </c>
      <c r="E101" s="459">
        <f>SUM(E102,E108,E112)</f>
        <v>0</v>
      </c>
      <c r="F101" s="229"/>
      <c r="G101" s="229"/>
      <c r="H101" s="229"/>
      <c r="I101" s="229"/>
      <c r="J101" s="229"/>
      <c r="K101" s="229"/>
      <c r="L101" s="144"/>
      <c r="M101" s="22"/>
      <c r="N101" s="22"/>
      <c r="O101" s="22"/>
      <c r="P101" s="22"/>
      <c r="Q101" s="22"/>
      <c r="R101" s="22"/>
      <c r="S101" s="22"/>
      <c r="T101" s="22"/>
      <c r="U101" s="22"/>
      <c r="V101" s="22"/>
      <c r="W101" s="22"/>
      <c r="X101" s="22"/>
      <c r="Y101" s="22"/>
      <c r="Z101" s="96"/>
      <c r="AA101" s="96"/>
      <c r="AB101" s="96"/>
      <c r="AC101" s="96"/>
      <c r="AD101" s="96"/>
      <c r="AE101" s="97"/>
      <c r="AF101" s="97"/>
    </row>
    <row r="102" spans="1:32" s="1" customFormat="1" ht="15.5">
      <c r="A102" s="229"/>
      <c r="B102" s="450" t="s">
        <v>570</v>
      </c>
      <c r="C102" s="445">
        <v>9</v>
      </c>
      <c r="D102" s="445">
        <v>4</v>
      </c>
      <c r="E102" s="451">
        <f>SUM(E103:E107)</f>
        <v>0</v>
      </c>
      <c r="F102" s="229"/>
      <c r="G102" s="229"/>
      <c r="H102" s="229"/>
      <c r="I102" s="229"/>
      <c r="J102" s="229"/>
      <c r="K102" s="229"/>
      <c r="L102" s="144"/>
      <c r="M102" s="22"/>
      <c r="N102" s="22"/>
      <c r="O102" s="22"/>
      <c r="P102" s="22"/>
      <c r="Q102" s="22"/>
      <c r="R102" s="22"/>
      <c r="S102" s="22"/>
      <c r="T102" s="22"/>
      <c r="U102" s="22"/>
      <c r="V102" s="22"/>
      <c r="W102" s="22"/>
      <c r="X102" s="22"/>
      <c r="Y102" s="22"/>
      <c r="Z102" s="96"/>
      <c r="AA102" s="96"/>
      <c r="AB102" s="96"/>
      <c r="AC102" s="96"/>
      <c r="AD102" s="96"/>
      <c r="AE102" s="97"/>
      <c r="AF102" s="97"/>
    </row>
    <row r="103" spans="1:32" s="1" customFormat="1" ht="15.5">
      <c r="A103" s="229"/>
      <c r="B103" s="452" t="s">
        <v>87</v>
      </c>
      <c r="C103" s="446">
        <v>4.5</v>
      </c>
      <c r="D103" s="446">
        <v>1.5</v>
      </c>
      <c r="E103" s="454">
        <f>SUM('Energy and water utilities'!E33:E37)</f>
        <v>0</v>
      </c>
      <c r="F103" s="229"/>
      <c r="G103" s="229"/>
      <c r="H103" s="229"/>
      <c r="I103" s="229"/>
      <c r="J103" s="229"/>
      <c r="K103" s="229"/>
      <c r="L103" s="144"/>
      <c r="M103" s="22"/>
      <c r="N103" s="22"/>
      <c r="O103" s="22"/>
      <c r="P103" s="22"/>
      <c r="Q103" s="22"/>
      <c r="R103" s="22"/>
      <c r="S103" s="22"/>
      <c r="T103" s="22"/>
      <c r="U103" s="22"/>
      <c r="V103" s="22"/>
      <c r="W103" s="22"/>
      <c r="X103" s="22"/>
      <c r="Y103" s="22"/>
      <c r="Z103" s="96"/>
      <c r="AA103" s="96"/>
      <c r="AB103" s="96"/>
      <c r="AC103" s="96"/>
      <c r="AD103" s="96"/>
      <c r="AE103" s="97"/>
      <c r="AF103" s="97"/>
    </row>
    <row r="104" spans="1:32" s="1" customFormat="1" ht="15.5">
      <c r="A104" s="229"/>
      <c r="B104" s="452" t="s">
        <v>752</v>
      </c>
      <c r="C104" s="446">
        <v>2.5</v>
      </c>
      <c r="D104" s="446">
        <v>1.5</v>
      </c>
      <c r="E104" s="454">
        <f>SUM('Energy and water utilities'!E40:E42)</f>
        <v>0</v>
      </c>
      <c r="F104" s="229"/>
      <c r="G104" s="229"/>
      <c r="H104" s="229"/>
      <c r="I104" s="229"/>
      <c r="J104" s="229"/>
      <c r="K104" s="229"/>
      <c r="L104" s="144"/>
      <c r="M104" s="22"/>
      <c r="N104" s="22"/>
      <c r="O104" s="22"/>
      <c r="P104" s="22"/>
      <c r="Q104" s="22"/>
      <c r="R104" s="22"/>
      <c r="S104" s="22"/>
      <c r="T104" s="22"/>
      <c r="U104" s="22"/>
      <c r="V104" s="22"/>
      <c r="W104" s="22"/>
      <c r="X104" s="22"/>
      <c r="Y104" s="22"/>
      <c r="Z104" s="96"/>
      <c r="AA104" s="96"/>
      <c r="AB104" s="96"/>
      <c r="AC104" s="96"/>
      <c r="AD104" s="96"/>
      <c r="AE104" s="97"/>
      <c r="AF104" s="97"/>
    </row>
    <row r="105" spans="1:32" s="1" customFormat="1" ht="15.5">
      <c r="A105" s="229"/>
      <c r="B105" s="452" t="s">
        <v>584</v>
      </c>
      <c r="C105" s="446">
        <v>0.5</v>
      </c>
      <c r="D105" s="460">
        <v>0</v>
      </c>
      <c r="E105" s="454" t="str">
        <f>'Energy and water utilities'!E46</f>
        <v/>
      </c>
      <c r="F105" s="229"/>
      <c r="G105" s="229"/>
      <c r="H105" s="229"/>
      <c r="I105" s="229"/>
      <c r="J105" s="229"/>
      <c r="K105" s="229"/>
      <c r="L105" s="144"/>
      <c r="M105" s="22"/>
      <c r="N105" s="22"/>
      <c r="O105" s="22"/>
      <c r="P105" s="22"/>
      <c r="Q105" s="22"/>
      <c r="R105" s="22"/>
      <c r="S105" s="22"/>
      <c r="T105" s="22"/>
      <c r="U105" s="22"/>
      <c r="V105" s="22"/>
      <c r="W105" s="22"/>
      <c r="X105" s="22"/>
      <c r="Y105" s="22"/>
      <c r="Z105" s="96"/>
      <c r="AA105" s="96"/>
      <c r="AB105" s="96"/>
      <c r="AC105" s="96"/>
      <c r="AD105" s="96"/>
      <c r="AE105" s="97"/>
      <c r="AF105" s="97"/>
    </row>
    <row r="106" spans="1:32" s="1" customFormat="1" ht="15.5">
      <c r="A106" s="229"/>
      <c r="B106" s="452" t="s">
        <v>586</v>
      </c>
      <c r="C106" s="446">
        <v>0.5</v>
      </c>
      <c r="D106" s="446">
        <v>0.5</v>
      </c>
      <c r="E106" s="454" t="str">
        <f>'Energy and water utilities'!E47</f>
        <v/>
      </c>
      <c r="F106" s="229"/>
      <c r="G106" s="229"/>
      <c r="H106" s="229"/>
      <c r="I106" s="229"/>
      <c r="J106" s="229"/>
      <c r="K106" s="229"/>
      <c r="L106" s="144"/>
      <c r="M106" s="22"/>
      <c r="N106" s="22"/>
      <c r="O106" s="22"/>
      <c r="P106" s="22"/>
      <c r="Q106" s="22"/>
      <c r="R106" s="22"/>
      <c r="S106" s="22"/>
      <c r="T106" s="22"/>
      <c r="U106" s="22"/>
      <c r="V106" s="22"/>
      <c r="W106" s="22"/>
      <c r="X106" s="22"/>
      <c r="Y106" s="22"/>
      <c r="Z106" s="96"/>
      <c r="AA106" s="96"/>
      <c r="AB106" s="96"/>
      <c r="AC106" s="96"/>
      <c r="AD106" s="96"/>
      <c r="AE106" s="97"/>
      <c r="AF106" s="97"/>
    </row>
    <row r="107" spans="1:32" s="1" customFormat="1" ht="15.5">
      <c r="A107" s="229"/>
      <c r="B107" s="452" t="s">
        <v>95</v>
      </c>
      <c r="C107" s="446">
        <v>1</v>
      </c>
      <c r="D107" s="446">
        <v>0</v>
      </c>
      <c r="E107" s="454" t="str">
        <f>'Energy and water utilities'!E48</f>
        <v/>
      </c>
      <c r="F107" s="229"/>
      <c r="G107" s="229"/>
      <c r="H107" s="229"/>
      <c r="I107" s="229"/>
      <c r="J107" s="229"/>
      <c r="K107" s="229"/>
      <c r="L107" s="144"/>
      <c r="M107" s="22"/>
      <c r="N107" s="22"/>
      <c r="O107" s="22"/>
      <c r="P107" s="22"/>
      <c r="Q107" s="22"/>
      <c r="R107" s="22"/>
      <c r="S107" s="22"/>
      <c r="T107" s="22"/>
      <c r="U107" s="22"/>
      <c r="V107" s="22"/>
      <c r="W107" s="22"/>
      <c r="X107" s="22"/>
      <c r="Y107" s="22"/>
      <c r="Z107" s="96"/>
      <c r="AA107" s="96"/>
      <c r="AB107" s="96"/>
      <c r="AC107" s="96"/>
      <c r="AD107" s="96"/>
      <c r="AE107" s="97"/>
      <c r="AF107" s="97"/>
    </row>
    <row r="108" spans="1:32" s="1" customFormat="1" ht="19" customHeight="1">
      <c r="A108" s="229"/>
      <c r="B108" s="453" t="s">
        <v>588</v>
      </c>
      <c r="C108" s="445">
        <v>3</v>
      </c>
      <c r="D108" s="445">
        <v>1.5</v>
      </c>
      <c r="E108" s="451">
        <f>SUM(E109:E111)</f>
        <v>0</v>
      </c>
      <c r="F108" s="229"/>
      <c r="G108" s="229"/>
      <c r="H108" s="229"/>
      <c r="I108" s="229"/>
      <c r="J108" s="229"/>
      <c r="K108" s="229"/>
      <c r="L108" s="144"/>
      <c r="M108" s="22"/>
      <c r="N108" s="22"/>
      <c r="O108" s="22"/>
      <c r="P108" s="22"/>
      <c r="Q108" s="22"/>
      <c r="R108" s="22"/>
      <c r="S108" s="22"/>
      <c r="T108" s="22"/>
      <c r="U108" s="22"/>
      <c r="V108" s="22"/>
      <c r="W108" s="22"/>
      <c r="X108" s="22"/>
      <c r="Y108" s="22"/>
      <c r="Z108" s="96"/>
      <c r="AA108" s="96"/>
      <c r="AB108" s="96"/>
      <c r="AC108" s="96"/>
      <c r="AD108" s="96"/>
      <c r="AE108" s="97"/>
      <c r="AF108" s="97"/>
    </row>
    <row r="109" spans="1:32" s="1" customFormat="1" ht="15.5">
      <c r="A109" s="229"/>
      <c r="B109" s="456" t="s">
        <v>753</v>
      </c>
      <c r="C109" s="446">
        <v>1.5</v>
      </c>
      <c r="D109" s="446">
        <v>0</v>
      </c>
      <c r="E109" s="454">
        <f>SUM('Energy and water utilities'!E52:E53)</f>
        <v>0</v>
      </c>
      <c r="F109" s="229"/>
      <c r="G109" s="229"/>
      <c r="H109" s="229"/>
      <c r="I109" s="229"/>
      <c r="J109" s="229"/>
      <c r="K109" s="229"/>
      <c r="L109" s="144"/>
      <c r="M109" s="22"/>
      <c r="N109" s="22"/>
      <c r="O109" s="22"/>
      <c r="P109" s="22"/>
      <c r="Q109" s="22"/>
      <c r="R109" s="22"/>
      <c r="S109" s="22"/>
      <c r="T109" s="22"/>
      <c r="U109" s="22"/>
      <c r="V109" s="22"/>
      <c r="W109" s="22"/>
      <c r="X109" s="22"/>
      <c r="Y109" s="22"/>
      <c r="Z109" s="96"/>
      <c r="AA109" s="96"/>
      <c r="AB109" s="96"/>
      <c r="AC109" s="96"/>
      <c r="AD109" s="96"/>
      <c r="AE109" s="97"/>
      <c r="AF109" s="97"/>
    </row>
    <row r="110" spans="1:32" s="1" customFormat="1" ht="15.5">
      <c r="A110" s="229"/>
      <c r="B110" s="456" t="s">
        <v>754</v>
      </c>
      <c r="C110" s="446">
        <v>1.5</v>
      </c>
      <c r="D110" s="446">
        <v>0</v>
      </c>
      <c r="E110" s="454" t="str">
        <f>'Energy and water utilities'!E54</f>
        <v/>
      </c>
      <c r="F110" s="229"/>
      <c r="G110" s="229"/>
      <c r="H110" s="229"/>
      <c r="I110" s="229"/>
      <c r="J110" s="229"/>
      <c r="K110" s="229"/>
      <c r="L110" s="144"/>
      <c r="M110" s="22"/>
      <c r="N110" s="22"/>
      <c r="O110" s="22"/>
      <c r="P110" s="22"/>
      <c r="Q110" s="22"/>
      <c r="R110" s="22"/>
      <c r="S110" s="22"/>
      <c r="T110" s="22"/>
      <c r="U110" s="22"/>
      <c r="V110" s="22"/>
      <c r="W110" s="22"/>
      <c r="X110" s="22"/>
      <c r="Y110" s="22"/>
      <c r="Z110" s="96"/>
      <c r="AA110" s="96"/>
      <c r="AB110" s="96"/>
      <c r="AC110" s="96"/>
      <c r="AD110" s="96"/>
      <c r="AE110" s="97"/>
      <c r="AF110" s="97"/>
    </row>
    <row r="111" spans="1:32" s="1" customFormat="1" ht="15.5">
      <c r="A111" s="229"/>
      <c r="B111" s="456" t="s">
        <v>755</v>
      </c>
      <c r="C111" s="446">
        <v>1.5</v>
      </c>
      <c r="D111" s="446">
        <v>1</v>
      </c>
      <c r="E111" s="454" t="str">
        <f>'Energy and water utilities'!E55</f>
        <v/>
      </c>
      <c r="F111" s="229"/>
      <c r="G111" s="229"/>
      <c r="H111" s="229"/>
      <c r="I111" s="229"/>
      <c r="J111" s="229"/>
      <c r="K111" s="229"/>
      <c r="L111" s="144"/>
      <c r="M111" s="22"/>
      <c r="N111" s="22"/>
      <c r="O111" s="22"/>
      <c r="P111" s="22"/>
      <c r="Q111" s="22"/>
      <c r="R111" s="22"/>
      <c r="S111" s="22"/>
      <c r="T111" s="22"/>
      <c r="U111" s="22"/>
      <c r="V111" s="22"/>
      <c r="W111" s="22"/>
      <c r="X111" s="22"/>
      <c r="Y111" s="22"/>
      <c r="Z111" s="96"/>
      <c r="AA111" s="96"/>
      <c r="AB111" s="96"/>
      <c r="AC111" s="96"/>
      <c r="AD111" s="96"/>
      <c r="AE111" s="97"/>
      <c r="AF111" s="97"/>
    </row>
    <row r="112" spans="1:32" s="1" customFormat="1" ht="15.5">
      <c r="A112" s="229"/>
      <c r="B112" s="450" t="s">
        <v>558</v>
      </c>
      <c r="C112" s="445">
        <v>3</v>
      </c>
      <c r="D112" s="445">
        <v>1</v>
      </c>
      <c r="E112" s="451">
        <f>SUM(E113:E116)</f>
        <v>0</v>
      </c>
      <c r="F112" s="229"/>
      <c r="G112" s="229"/>
      <c r="H112" s="229"/>
      <c r="I112" s="229"/>
      <c r="J112" s="229"/>
      <c r="K112" s="229"/>
      <c r="L112" s="144"/>
      <c r="M112" s="22"/>
      <c r="N112" s="22"/>
      <c r="O112" s="22"/>
      <c r="P112" s="22"/>
      <c r="Q112" s="22"/>
      <c r="R112" s="22"/>
      <c r="S112" s="22"/>
      <c r="T112" s="22"/>
      <c r="U112" s="22"/>
      <c r="V112" s="22"/>
      <c r="W112" s="22"/>
      <c r="X112" s="22"/>
      <c r="Y112" s="22"/>
      <c r="Z112" s="96"/>
      <c r="AA112" s="96"/>
      <c r="AB112" s="96"/>
      <c r="AC112" s="96"/>
      <c r="AD112" s="96"/>
      <c r="AE112" s="97"/>
      <c r="AF112" s="97"/>
    </row>
    <row r="113" spans="1:32" s="1" customFormat="1" ht="15.5">
      <c r="A113" s="229"/>
      <c r="B113" s="452" t="s">
        <v>756</v>
      </c>
      <c r="C113" s="446">
        <v>0.5</v>
      </c>
      <c r="D113" s="446">
        <v>0</v>
      </c>
      <c r="E113" s="454" t="str">
        <f>'Energy and water utilities'!E58</f>
        <v/>
      </c>
      <c r="F113" s="229"/>
      <c r="G113" s="229"/>
      <c r="H113" s="229"/>
      <c r="I113" s="229"/>
      <c r="J113" s="229"/>
      <c r="K113" s="229"/>
      <c r="L113" s="144"/>
      <c r="M113" s="22"/>
      <c r="N113" s="22"/>
      <c r="O113" s="22"/>
      <c r="P113" s="22"/>
      <c r="Q113" s="22"/>
      <c r="R113" s="22"/>
      <c r="S113" s="22"/>
      <c r="T113" s="22"/>
      <c r="U113" s="22"/>
      <c r="V113" s="22"/>
      <c r="W113" s="22"/>
      <c r="X113" s="22"/>
      <c r="Y113" s="22"/>
      <c r="Z113" s="96"/>
      <c r="AA113" s="96"/>
      <c r="AB113" s="96"/>
      <c r="AC113" s="96"/>
      <c r="AD113" s="96"/>
      <c r="AE113" s="97"/>
      <c r="AF113" s="97"/>
    </row>
    <row r="114" spans="1:32" s="1" customFormat="1" ht="15.5">
      <c r="A114" s="229"/>
      <c r="B114" s="452" t="s">
        <v>100</v>
      </c>
      <c r="C114" s="446">
        <v>0.5</v>
      </c>
      <c r="D114" s="446">
        <v>0</v>
      </c>
      <c r="E114" s="496" t="str">
        <f>'Energy and water utilities'!E59</f>
        <v/>
      </c>
      <c r="F114" s="229"/>
      <c r="G114" s="229"/>
      <c r="H114" s="229"/>
      <c r="I114" s="229"/>
      <c r="J114" s="229"/>
      <c r="K114" s="229"/>
      <c r="L114" s="144"/>
      <c r="M114" s="22"/>
      <c r="N114" s="22"/>
      <c r="O114" s="22"/>
      <c r="P114" s="22"/>
      <c r="Q114" s="22"/>
      <c r="R114" s="22"/>
      <c r="S114" s="22"/>
      <c r="T114" s="22"/>
      <c r="U114" s="22"/>
      <c r="V114" s="22"/>
      <c r="W114" s="22"/>
      <c r="X114" s="22"/>
      <c r="Y114" s="22"/>
      <c r="Z114" s="96"/>
      <c r="AA114" s="96"/>
      <c r="AB114" s="96"/>
      <c r="AC114" s="96"/>
      <c r="AD114" s="96"/>
      <c r="AE114" s="97"/>
      <c r="AF114" s="97"/>
    </row>
    <row r="115" spans="1:32" s="1" customFormat="1" ht="15.5">
      <c r="A115" s="229"/>
      <c r="B115" s="452" t="s">
        <v>597</v>
      </c>
      <c r="C115" s="446">
        <v>1</v>
      </c>
      <c r="D115" s="446">
        <v>0.5</v>
      </c>
      <c r="E115" s="454" t="str">
        <f>'Energy and water utilities'!E60</f>
        <v/>
      </c>
      <c r="F115" s="229"/>
      <c r="G115" s="229"/>
      <c r="H115" s="229"/>
      <c r="I115" s="229"/>
      <c r="J115" s="229"/>
      <c r="K115" s="229"/>
      <c r="L115" s="144"/>
      <c r="M115" s="22"/>
      <c r="N115" s="22"/>
      <c r="O115" s="22"/>
      <c r="P115" s="22"/>
      <c r="Q115" s="22"/>
      <c r="R115" s="22"/>
      <c r="S115" s="22"/>
      <c r="T115" s="22"/>
      <c r="U115" s="22"/>
      <c r="V115" s="22"/>
      <c r="W115" s="22"/>
      <c r="X115" s="22"/>
      <c r="Y115" s="22"/>
      <c r="Z115" s="96"/>
      <c r="AA115" s="96"/>
      <c r="AB115" s="96"/>
      <c r="AC115" s="96"/>
      <c r="AD115" s="96"/>
      <c r="AE115" s="97"/>
      <c r="AF115" s="97"/>
    </row>
    <row r="116" spans="1:32" s="1" customFormat="1" ht="15.5">
      <c r="A116" s="229"/>
      <c r="B116" s="452" t="s">
        <v>102</v>
      </c>
      <c r="C116" s="446">
        <v>1</v>
      </c>
      <c r="D116" s="446">
        <v>1</v>
      </c>
      <c r="E116" s="454" t="str">
        <f>'Energy and water utilities'!E61</f>
        <v/>
      </c>
      <c r="F116" s="229"/>
      <c r="G116" s="229"/>
      <c r="H116" s="229"/>
      <c r="I116" s="229"/>
      <c r="J116" s="229"/>
      <c r="K116" s="229"/>
      <c r="L116" s="144"/>
      <c r="M116" s="22"/>
      <c r="N116" s="22"/>
      <c r="O116" s="22"/>
      <c r="P116" s="22"/>
      <c r="Q116" s="22"/>
      <c r="R116" s="22"/>
      <c r="S116" s="22"/>
      <c r="T116" s="22"/>
      <c r="U116" s="22"/>
      <c r="V116" s="22"/>
      <c r="W116" s="22"/>
      <c r="X116" s="22"/>
      <c r="Y116" s="22"/>
      <c r="Z116" s="96"/>
      <c r="AA116" s="96"/>
      <c r="AB116" s="96"/>
      <c r="AC116" s="96"/>
      <c r="AD116" s="96"/>
      <c r="AE116" s="97"/>
      <c r="AF116" s="97"/>
    </row>
    <row r="117" spans="1:32" s="1" customFormat="1" ht="15.5">
      <c r="A117" s="229"/>
      <c r="B117" s="449" t="s">
        <v>757</v>
      </c>
      <c r="C117" s="413">
        <v>10</v>
      </c>
      <c r="D117" s="413">
        <v>2.5</v>
      </c>
      <c r="E117" s="461">
        <f>SUM(E118,E123,E128)</f>
        <v>0</v>
      </c>
      <c r="F117" s="229"/>
      <c r="G117" s="229"/>
      <c r="H117" s="229"/>
      <c r="I117" s="229"/>
      <c r="J117" s="229"/>
      <c r="K117" s="229"/>
      <c r="L117" s="144"/>
      <c r="M117" s="22"/>
      <c r="N117" s="22"/>
      <c r="O117" s="22"/>
      <c r="P117" s="22"/>
      <c r="Q117" s="22"/>
      <c r="R117" s="22"/>
      <c r="S117" s="22"/>
      <c r="T117" s="22"/>
      <c r="U117" s="22"/>
      <c r="V117" s="22"/>
      <c r="W117" s="22"/>
      <c r="X117" s="22"/>
      <c r="Y117" s="22"/>
      <c r="Z117" s="96"/>
      <c r="AA117" s="96"/>
      <c r="AB117" s="96"/>
      <c r="AC117" s="96"/>
      <c r="AD117" s="96"/>
      <c r="AE117" s="97"/>
      <c r="AF117" s="97"/>
    </row>
    <row r="118" spans="1:32" s="1" customFormat="1" ht="15.5">
      <c r="A118" s="229"/>
      <c r="B118" s="450" t="s">
        <v>758</v>
      </c>
      <c r="C118" s="445">
        <v>4</v>
      </c>
      <c r="D118" s="445">
        <v>0</v>
      </c>
      <c r="E118" s="451">
        <f>SUM(E119:E122)</f>
        <v>0</v>
      </c>
      <c r="F118" s="229"/>
      <c r="G118" s="229"/>
      <c r="H118" s="229"/>
      <c r="I118" s="229"/>
      <c r="J118" s="229"/>
      <c r="K118" s="229"/>
      <c r="L118" s="144"/>
      <c r="M118" s="22"/>
      <c r="N118" s="22"/>
      <c r="O118" s="22"/>
      <c r="P118" s="22"/>
      <c r="Q118" s="22"/>
      <c r="R118" s="22"/>
      <c r="S118" s="22"/>
      <c r="T118" s="22"/>
      <c r="U118" s="22"/>
      <c r="V118" s="22"/>
      <c r="W118" s="22"/>
      <c r="X118" s="22"/>
      <c r="Y118" s="22"/>
      <c r="Z118" s="96"/>
      <c r="AA118" s="96"/>
      <c r="AB118" s="96"/>
      <c r="AC118" s="96"/>
      <c r="AD118" s="96"/>
      <c r="AE118" s="97"/>
      <c r="AF118" s="97"/>
    </row>
    <row r="119" spans="1:32" s="1" customFormat="1" ht="15.5">
      <c r="A119" s="229"/>
      <c r="B119" s="452" t="s">
        <v>759</v>
      </c>
      <c r="C119" s="446">
        <v>1</v>
      </c>
      <c r="D119" s="446">
        <v>0</v>
      </c>
      <c r="E119" s="496" t="str">
        <f>'Local government operations'!E28</f>
        <v/>
      </c>
      <c r="F119" s="229"/>
      <c r="G119" s="229"/>
      <c r="H119" s="229"/>
      <c r="I119" s="229"/>
      <c r="J119" s="229"/>
      <c r="K119" s="229"/>
      <c r="L119" s="144"/>
      <c r="M119" s="22"/>
      <c r="N119" s="22"/>
      <c r="O119" s="22"/>
      <c r="P119" s="22"/>
      <c r="Q119" s="22"/>
      <c r="R119" s="22"/>
      <c r="S119" s="22"/>
      <c r="T119" s="22"/>
      <c r="U119" s="22"/>
      <c r="V119" s="22"/>
      <c r="W119" s="22"/>
      <c r="X119" s="22"/>
      <c r="Y119" s="22"/>
      <c r="Z119" s="96"/>
      <c r="AA119" s="96"/>
      <c r="AB119" s="96"/>
      <c r="AC119" s="96"/>
      <c r="AD119" s="96"/>
      <c r="AE119" s="97"/>
      <c r="AF119" s="97"/>
    </row>
    <row r="120" spans="1:32" s="1" customFormat="1" ht="15.5">
      <c r="A120" s="229"/>
      <c r="B120" s="452" t="s">
        <v>760</v>
      </c>
      <c r="C120" s="446">
        <v>1</v>
      </c>
      <c r="D120" s="446">
        <v>0</v>
      </c>
      <c r="E120" s="454" t="str">
        <f>'Local government operations'!E29</f>
        <v/>
      </c>
      <c r="F120" s="229"/>
      <c r="G120" s="229"/>
      <c r="H120" s="229"/>
      <c r="I120" s="229"/>
      <c r="J120" s="229"/>
      <c r="K120" s="229"/>
      <c r="L120" s="144"/>
      <c r="M120" s="22"/>
      <c r="N120" s="22"/>
      <c r="O120" s="22"/>
      <c r="P120" s="22"/>
      <c r="Q120" s="22"/>
      <c r="R120" s="22"/>
      <c r="S120" s="22"/>
      <c r="T120" s="22"/>
      <c r="U120" s="22"/>
      <c r="V120" s="22"/>
      <c r="W120" s="22"/>
      <c r="X120" s="22"/>
      <c r="Y120" s="22"/>
      <c r="Z120" s="96"/>
      <c r="AA120" s="96"/>
      <c r="AB120" s="96"/>
      <c r="AC120" s="96"/>
      <c r="AD120" s="96"/>
      <c r="AE120" s="97"/>
      <c r="AF120" s="97"/>
    </row>
    <row r="121" spans="1:32" s="1" customFormat="1" ht="15.5">
      <c r="A121" s="229"/>
      <c r="B121" s="452" t="s">
        <v>726</v>
      </c>
      <c r="C121" s="446">
        <v>1</v>
      </c>
      <c r="D121" s="446">
        <v>0</v>
      </c>
      <c r="E121" s="454" t="str">
        <f>'Local government operations'!E33</f>
        <v/>
      </c>
      <c r="F121" s="229"/>
      <c r="G121" s="229"/>
      <c r="H121" s="229"/>
      <c r="I121" s="229"/>
      <c r="J121" s="229"/>
      <c r="K121" s="229"/>
      <c r="L121" s="144"/>
      <c r="M121" s="22"/>
      <c r="N121" s="22"/>
      <c r="O121" s="22"/>
      <c r="P121" s="22"/>
      <c r="Q121" s="22"/>
      <c r="R121" s="22"/>
      <c r="S121" s="22"/>
      <c r="T121" s="22"/>
      <c r="U121" s="22"/>
      <c r="V121" s="22"/>
      <c r="W121" s="22"/>
      <c r="X121" s="22"/>
      <c r="Y121" s="22"/>
      <c r="Z121" s="96"/>
      <c r="AA121" s="96"/>
      <c r="AB121" s="96"/>
      <c r="AC121" s="96"/>
      <c r="AD121" s="96"/>
      <c r="AE121" s="97"/>
      <c r="AF121" s="97"/>
    </row>
    <row r="122" spans="1:32" s="1" customFormat="1" ht="15.5">
      <c r="A122" s="229"/>
      <c r="B122" s="452" t="s">
        <v>725</v>
      </c>
      <c r="C122" s="446">
        <v>1</v>
      </c>
      <c r="D122" s="446">
        <v>0</v>
      </c>
      <c r="E122" s="454" t="str">
        <f>'Local government operations'!E24</f>
        <v/>
      </c>
      <c r="F122" s="229"/>
      <c r="G122" s="229"/>
      <c r="H122" s="229"/>
      <c r="I122" s="229"/>
      <c r="J122" s="229"/>
      <c r="K122" s="229"/>
      <c r="L122" s="144"/>
      <c r="M122" s="22"/>
      <c r="N122" s="22"/>
      <c r="O122" s="22"/>
      <c r="P122" s="22"/>
      <c r="Q122" s="22"/>
      <c r="R122" s="22"/>
      <c r="S122" s="22"/>
      <c r="T122" s="22"/>
      <c r="U122" s="22"/>
      <c r="V122" s="22"/>
      <c r="W122" s="22"/>
      <c r="X122" s="22"/>
      <c r="Y122" s="22"/>
      <c r="Z122" s="96"/>
      <c r="AA122" s="96"/>
      <c r="AB122" s="96"/>
      <c r="AC122" s="96"/>
      <c r="AD122" s="96"/>
      <c r="AE122" s="97"/>
      <c r="AF122" s="97"/>
    </row>
    <row r="123" spans="1:32" s="1" customFormat="1" ht="15.5">
      <c r="A123" s="229"/>
      <c r="B123" s="450" t="s">
        <v>662</v>
      </c>
      <c r="C123" s="445">
        <v>4</v>
      </c>
      <c r="D123" s="445">
        <v>1.5</v>
      </c>
      <c r="E123" s="451">
        <f>SUM(E124:E127)</f>
        <v>0</v>
      </c>
      <c r="F123" s="229"/>
      <c r="G123" s="229"/>
      <c r="H123" s="229"/>
      <c r="I123" s="229"/>
      <c r="J123" s="229"/>
      <c r="K123" s="229"/>
      <c r="L123" s="144"/>
      <c r="M123" s="22"/>
      <c r="N123" s="22"/>
      <c r="O123" s="22"/>
      <c r="P123" s="22"/>
      <c r="Q123" s="22"/>
      <c r="R123" s="22"/>
      <c r="S123" s="22"/>
      <c r="T123" s="22"/>
      <c r="U123" s="22"/>
      <c r="V123" s="22"/>
      <c r="W123" s="22"/>
      <c r="X123" s="22"/>
      <c r="Y123" s="22"/>
      <c r="Z123" s="96"/>
      <c r="AA123" s="96"/>
      <c r="AB123" s="96"/>
      <c r="AC123" s="96"/>
      <c r="AD123" s="96"/>
      <c r="AE123" s="97"/>
      <c r="AF123" s="97"/>
    </row>
    <row r="124" spans="1:32" s="1" customFormat="1" ht="15.5">
      <c r="A124" s="229"/>
      <c r="B124" s="452" t="s">
        <v>761</v>
      </c>
      <c r="C124" s="446">
        <v>1</v>
      </c>
      <c r="D124" s="446">
        <v>0.5</v>
      </c>
      <c r="E124" s="454">
        <f>SUM('Local government operations'!E38:E39)</f>
        <v>0</v>
      </c>
      <c r="F124" s="229"/>
      <c r="G124" s="229"/>
      <c r="H124" s="229"/>
      <c r="I124" s="229"/>
      <c r="J124" s="229"/>
      <c r="K124" s="229"/>
      <c r="L124" s="144"/>
      <c r="M124" s="22"/>
      <c r="N124" s="22"/>
      <c r="O124" s="22"/>
      <c r="P124" s="22"/>
      <c r="Q124" s="22"/>
      <c r="R124" s="22"/>
      <c r="S124" s="22"/>
      <c r="T124" s="22"/>
      <c r="U124" s="22"/>
      <c r="V124" s="22"/>
      <c r="W124" s="22"/>
      <c r="X124" s="22"/>
      <c r="Y124" s="22"/>
      <c r="Z124" s="96"/>
      <c r="AA124" s="96"/>
      <c r="AB124" s="96"/>
      <c r="AC124" s="96"/>
      <c r="AD124" s="96"/>
      <c r="AE124" s="97"/>
      <c r="AF124" s="97"/>
    </row>
    <row r="125" spans="1:32" s="1" customFormat="1" ht="15.5">
      <c r="A125" s="229"/>
      <c r="B125" s="452" t="s">
        <v>762</v>
      </c>
      <c r="C125" s="446">
        <v>1.5</v>
      </c>
      <c r="D125" s="446">
        <v>0.5</v>
      </c>
      <c r="E125" s="454">
        <f>SUM('Local government operations'!E40:E41)</f>
        <v>0</v>
      </c>
      <c r="F125" s="229"/>
      <c r="G125" s="229"/>
      <c r="H125" s="229"/>
      <c r="I125" s="229"/>
      <c r="J125" s="229"/>
      <c r="K125" s="229"/>
      <c r="L125" s="144"/>
      <c r="M125" s="22"/>
      <c r="N125" s="22"/>
      <c r="O125" s="22"/>
      <c r="P125" s="22"/>
      <c r="Q125" s="22"/>
      <c r="R125" s="22"/>
      <c r="S125" s="22"/>
      <c r="T125" s="22"/>
      <c r="U125" s="22"/>
      <c r="V125" s="22"/>
      <c r="W125" s="22"/>
      <c r="X125" s="22"/>
      <c r="Y125" s="22"/>
      <c r="Z125" s="96"/>
      <c r="AA125" s="96"/>
      <c r="AB125" s="96"/>
      <c r="AC125" s="96"/>
      <c r="AD125" s="96"/>
      <c r="AE125" s="97"/>
      <c r="AF125" s="97"/>
    </row>
    <row r="126" spans="1:32" s="1" customFormat="1" ht="15.5">
      <c r="A126" s="229"/>
      <c r="B126" s="452" t="s">
        <v>763</v>
      </c>
      <c r="C126" s="446">
        <v>1</v>
      </c>
      <c r="D126" s="446">
        <v>0</v>
      </c>
      <c r="E126" s="454" t="str">
        <f>'Local government operations'!E42</f>
        <v/>
      </c>
      <c r="F126" s="229"/>
      <c r="G126" s="229"/>
      <c r="H126" s="229"/>
      <c r="I126" s="229"/>
      <c r="J126" s="229"/>
      <c r="K126" s="229"/>
      <c r="L126" s="144"/>
      <c r="M126" s="22"/>
      <c r="N126" s="22"/>
      <c r="O126" s="22"/>
      <c r="P126" s="22"/>
      <c r="Q126" s="22"/>
      <c r="R126" s="22"/>
      <c r="S126" s="22"/>
      <c r="T126" s="22"/>
      <c r="U126" s="22"/>
      <c r="V126" s="22"/>
      <c r="W126" s="22"/>
      <c r="X126" s="22"/>
      <c r="Y126" s="22"/>
      <c r="Z126" s="96"/>
      <c r="AA126" s="96"/>
      <c r="AB126" s="96"/>
      <c r="AC126" s="96"/>
      <c r="AD126" s="96"/>
      <c r="AE126" s="97"/>
      <c r="AF126" s="97"/>
    </row>
    <row r="127" spans="1:32" s="1" customFormat="1" ht="15.5">
      <c r="A127" s="229"/>
      <c r="B127" s="452" t="s">
        <v>764</v>
      </c>
      <c r="C127" s="446">
        <v>0.5</v>
      </c>
      <c r="D127" s="446">
        <v>0</v>
      </c>
      <c r="E127" s="496" t="str">
        <f>'Local government operations'!E43</f>
        <v/>
      </c>
      <c r="F127" s="229"/>
      <c r="G127" s="229"/>
      <c r="H127" s="229"/>
      <c r="I127" s="229"/>
      <c r="J127" s="229"/>
      <c r="K127" s="229"/>
      <c r="L127" s="144"/>
      <c r="M127" s="22"/>
      <c r="N127" s="22"/>
      <c r="O127" s="22"/>
      <c r="P127" s="22"/>
      <c r="Q127" s="22"/>
      <c r="R127" s="22"/>
      <c r="S127" s="22"/>
      <c r="T127" s="22"/>
      <c r="U127" s="22"/>
      <c r="V127" s="22"/>
      <c r="W127" s="22"/>
      <c r="X127" s="22"/>
      <c r="Y127" s="22"/>
      <c r="Z127" s="96"/>
      <c r="AA127" s="96"/>
      <c r="AB127" s="96"/>
      <c r="AC127" s="96"/>
      <c r="AD127" s="96"/>
      <c r="AE127" s="97"/>
      <c r="AF127" s="97"/>
    </row>
    <row r="128" spans="1:32" s="1" customFormat="1" ht="15.5">
      <c r="A128" s="229"/>
      <c r="B128" s="450" t="s">
        <v>663</v>
      </c>
      <c r="C128" s="445">
        <v>2</v>
      </c>
      <c r="D128" s="445">
        <v>0.5</v>
      </c>
      <c r="E128" s="451">
        <f>SUM(E129:E130)</f>
        <v>0</v>
      </c>
      <c r="F128" s="229"/>
      <c r="G128" s="229"/>
      <c r="H128" s="229"/>
      <c r="I128" s="229"/>
      <c r="J128" s="229"/>
      <c r="K128" s="229"/>
      <c r="L128" s="144"/>
      <c r="M128" s="22"/>
      <c r="N128" s="22"/>
      <c r="O128" s="22"/>
      <c r="P128" s="22"/>
      <c r="Q128" s="22"/>
      <c r="R128" s="22"/>
      <c r="S128" s="22"/>
      <c r="T128" s="22"/>
      <c r="U128" s="22"/>
      <c r="V128" s="22"/>
      <c r="W128" s="22"/>
      <c r="X128" s="22"/>
      <c r="Y128" s="22"/>
      <c r="Z128" s="96"/>
      <c r="AA128" s="96"/>
      <c r="AB128" s="96"/>
      <c r="AC128" s="96"/>
      <c r="AD128" s="96"/>
      <c r="AE128" s="97"/>
      <c r="AF128" s="97"/>
    </row>
    <row r="129" spans="1:37" s="1" customFormat="1" ht="15.5">
      <c r="A129" s="229"/>
      <c r="B129" s="452" t="s">
        <v>680</v>
      </c>
      <c r="C129" s="446">
        <v>0.5</v>
      </c>
      <c r="D129" s="446">
        <v>0.5</v>
      </c>
      <c r="E129" s="454" t="str">
        <f>'Local government operations'!E47</f>
        <v/>
      </c>
      <c r="F129" s="229"/>
      <c r="G129" s="229"/>
      <c r="H129" s="229"/>
      <c r="I129" s="229"/>
      <c r="J129" s="229"/>
      <c r="K129" s="229"/>
      <c r="L129" s="144"/>
      <c r="M129" s="22"/>
      <c r="N129" s="22"/>
      <c r="O129" s="22"/>
      <c r="P129" s="22"/>
      <c r="Q129" s="22"/>
      <c r="R129" s="22"/>
      <c r="S129" s="22"/>
      <c r="T129" s="22"/>
      <c r="U129" s="22"/>
      <c r="V129" s="22"/>
      <c r="W129" s="22"/>
      <c r="X129" s="22"/>
      <c r="Y129" s="22"/>
      <c r="Z129" s="96"/>
      <c r="AA129" s="96"/>
      <c r="AB129" s="96"/>
      <c r="AC129" s="96"/>
      <c r="AD129" s="96"/>
      <c r="AE129" s="97"/>
      <c r="AF129" s="97"/>
    </row>
    <row r="130" spans="1:37" s="1" customFormat="1" ht="16" thickBot="1">
      <c r="A130" s="229"/>
      <c r="B130" s="457" t="s">
        <v>765</v>
      </c>
      <c r="C130" s="458">
        <v>1.5</v>
      </c>
      <c r="D130" s="458">
        <v>0</v>
      </c>
      <c r="E130" s="462">
        <f>SUM('Local government operations'!E48:E49)</f>
        <v>0</v>
      </c>
      <c r="F130" s="229"/>
      <c r="G130" s="229"/>
      <c r="H130" s="229"/>
      <c r="I130" s="229"/>
      <c r="J130" s="229"/>
      <c r="K130" s="229"/>
      <c r="L130" s="144"/>
      <c r="M130" s="22"/>
      <c r="N130" s="22"/>
      <c r="O130" s="22"/>
      <c r="P130" s="22"/>
      <c r="Q130" s="22"/>
      <c r="R130" s="22"/>
      <c r="S130" s="22"/>
      <c r="T130" s="22"/>
      <c r="U130" s="22"/>
      <c r="V130" s="22"/>
      <c r="W130" s="22"/>
      <c r="X130" s="22"/>
      <c r="Y130" s="22"/>
      <c r="Z130" s="96"/>
      <c r="AA130" s="96"/>
      <c r="AB130" s="96"/>
      <c r="AC130" s="96"/>
      <c r="AD130" s="96"/>
      <c r="AE130" s="97"/>
      <c r="AF130" s="97"/>
    </row>
    <row r="131" spans="1:37" ht="28.5" customHeight="1" thickBot="1">
      <c r="A131" s="229"/>
      <c r="B131" s="414"/>
      <c r="C131" s="414"/>
      <c r="D131" s="415"/>
      <c r="E131" s="416"/>
      <c r="F131" s="144"/>
      <c r="G131" s="144"/>
      <c r="K131" s="463"/>
      <c r="L131" s="463"/>
      <c r="Q131" s="22"/>
      <c r="R131" s="22"/>
      <c r="S131" s="22"/>
      <c r="T131" s="22"/>
      <c r="U131" s="22"/>
      <c r="V131" s="22"/>
      <c r="W131" s="22"/>
      <c r="X131" s="22"/>
      <c r="Y131" s="22"/>
      <c r="Z131" s="22"/>
      <c r="AA131" s="22"/>
      <c r="AB131" s="22"/>
      <c r="AC131" s="22"/>
      <c r="AD131" s="96"/>
      <c r="AK131"/>
    </row>
    <row r="132" spans="1:37" ht="15.5">
      <c r="A132" s="229"/>
      <c r="B132" s="619" t="s">
        <v>766</v>
      </c>
      <c r="C132" s="620"/>
      <c r="D132" s="620"/>
      <c r="E132" s="621"/>
      <c r="F132" s="144"/>
      <c r="G132" s="144"/>
      <c r="K132" s="463"/>
      <c r="L132" s="463"/>
      <c r="Q132" s="22"/>
      <c r="R132" s="22"/>
      <c r="S132" s="22"/>
      <c r="T132" s="22"/>
      <c r="U132" s="22"/>
      <c r="V132" s="22"/>
      <c r="W132" s="22"/>
      <c r="X132" s="22"/>
      <c r="Y132" s="22"/>
      <c r="Z132" s="22"/>
      <c r="AA132" s="22"/>
      <c r="AB132" s="22"/>
      <c r="AC132" s="22"/>
      <c r="AD132" s="22"/>
    </row>
    <row r="133" spans="1:37" ht="15.25" customHeight="1">
      <c r="A133" s="229"/>
      <c r="B133" s="417"/>
      <c r="C133" s="418" t="s">
        <v>767</v>
      </c>
      <c r="D133" s="418" t="s">
        <v>768</v>
      </c>
      <c r="E133" s="419" t="str">
        <f>IF(Introduction!D23&lt;&gt;"",Introduction!D23,"Your community")</f>
        <v>Your community</v>
      </c>
      <c r="F133" s="144"/>
      <c r="G133" s="231"/>
      <c r="H133" s="231"/>
      <c r="I133" s="231"/>
      <c r="J133" s="231"/>
      <c r="K133" s="464"/>
      <c r="L133" s="464"/>
      <c r="M133" s="110"/>
      <c r="N133" s="110"/>
      <c r="Q133" s="22"/>
      <c r="R133" s="22"/>
      <c r="S133" s="22"/>
      <c r="T133" s="22"/>
      <c r="U133" s="22"/>
      <c r="V133" s="96"/>
      <c r="W133" s="96"/>
      <c r="X133" s="96"/>
      <c r="Y133" s="96"/>
      <c r="Z133" s="96"/>
      <c r="AA133" s="96"/>
      <c r="AB133" s="96"/>
      <c r="AE133"/>
      <c r="AF133"/>
      <c r="AG133"/>
      <c r="AH133"/>
      <c r="AI133"/>
      <c r="AJ133"/>
      <c r="AK133"/>
    </row>
    <row r="134" spans="1:37" ht="15.25" customHeight="1">
      <c r="A134" s="229"/>
      <c r="B134" s="471" t="s">
        <v>8</v>
      </c>
      <c r="C134" s="420">
        <v>19</v>
      </c>
      <c r="D134" s="421">
        <v>3</v>
      </c>
      <c r="E134" s="422">
        <f>SUM(E43,E47,E64,E99,E94,E104,'Buildings policies'!E52,'Buildings policies'!E54,'Energy and water utilities'!E37,E127)</f>
        <v>0</v>
      </c>
      <c r="F134" s="144"/>
      <c r="G134" s="231"/>
      <c r="H134" s="231"/>
      <c r="I134" s="231"/>
      <c r="J134" s="231"/>
      <c r="K134" s="465"/>
      <c r="L134" s="464"/>
      <c r="M134" s="110"/>
      <c r="N134" s="110"/>
      <c r="Q134" s="22"/>
      <c r="R134" s="22"/>
      <c r="S134" s="22"/>
      <c r="T134" s="22"/>
      <c r="U134" s="22"/>
      <c r="V134" s="96"/>
      <c r="W134" s="96"/>
      <c r="X134" s="96"/>
      <c r="Y134" s="96"/>
      <c r="Z134" s="96"/>
      <c r="AA134" s="96"/>
      <c r="AB134" s="96"/>
      <c r="AE134"/>
      <c r="AF134"/>
      <c r="AG134"/>
      <c r="AH134"/>
      <c r="AI134"/>
      <c r="AJ134"/>
      <c r="AK134"/>
    </row>
    <row r="135" spans="1:37" ht="15.5">
      <c r="A135" s="229"/>
      <c r="B135" s="471" t="s">
        <v>10</v>
      </c>
      <c r="C135" s="420">
        <v>49</v>
      </c>
      <c r="D135" s="466">
        <v>9.25</v>
      </c>
      <c r="E135" s="422">
        <f>SUM('Buildings policies'!E20,'Buildings policies'!E39,'Buildings policies'!E40,'Buildings policies'!E41,'Buildings policies'!E45,'Buildings policies'!E48,Analysis!E45,Analysis!E49:E50,Analysis!E125,E70,E76,E78,E83,E86,E92,E94,E98)</f>
        <v>0</v>
      </c>
      <c r="F135" s="144"/>
      <c r="G135" s="231"/>
      <c r="H135" s="231"/>
      <c r="I135" s="231"/>
      <c r="J135" s="231"/>
      <c r="K135" s="464"/>
      <c r="L135" s="464"/>
      <c r="M135" s="110"/>
      <c r="N135" s="110"/>
      <c r="Q135" s="22"/>
      <c r="R135" s="22"/>
      <c r="S135" s="22"/>
      <c r="T135" s="22"/>
      <c r="U135" s="22"/>
      <c r="V135" s="96"/>
      <c r="W135" s="96"/>
      <c r="X135" s="96"/>
      <c r="Y135" s="96"/>
      <c r="Z135" s="96"/>
      <c r="AA135" s="96"/>
      <c r="AB135" s="96"/>
      <c r="AE135"/>
      <c r="AF135"/>
      <c r="AG135"/>
      <c r="AH135"/>
      <c r="AI135"/>
      <c r="AJ135"/>
      <c r="AK135"/>
    </row>
    <row r="136" spans="1:37" ht="16" thickBot="1">
      <c r="A136" s="229"/>
      <c r="B136" s="472" t="s">
        <v>1534</v>
      </c>
      <c r="C136" s="423">
        <v>16.5</v>
      </c>
      <c r="D136" s="467">
        <v>2.75</v>
      </c>
      <c r="E136" s="424">
        <f>SUM('Community-wide initiatives'!E36,'Buildings policies'!E36,'Local government operations'!E29,'Local government operations'!E39,'Local government operations'!E41,'Local government operations'!E42,'Local government operations'!E47,'Transportation policies'!E50,'Transportation policies'!E72,'Transportation policies'!E61,'Transportation policies'!E37,'Transportation policies'!E48,'Transportation policies'!E54,'Transportation policies'!E55)</f>
        <v>0</v>
      </c>
      <c r="F136" s="144"/>
      <c r="G136" s="231"/>
      <c r="H136" s="231"/>
      <c r="I136" s="231"/>
      <c r="J136" s="231"/>
      <c r="K136" s="464"/>
      <c r="L136" s="464"/>
      <c r="M136" s="110"/>
      <c r="N136" s="110"/>
      <c r="Q136" s="22"/>
      <c r="R136" s="22"/>
      <c r="S136" s="22"/>
      <c r="T136" s="22"/>
      <c r="U136" s="22"/>
      <c r="V136" s="96"/>
      <c r="W136" s="96"/>
      <c r="X136" s="96"/>
      <c r="Y136" s="96"/>
      <c r="Z136" s="96"/>
      <c r="AA136" s="96"/>
      <c r="AB136" s="96"/>
      <c r="AE136"/>
      <c r="AF136"/>
      <c r="AG136"/>
      <c r="AH136"/>
      <c r="AI136"/>
      <c r="AJ136"/>
      <c r="AK136"/>
    </row>
    <row r="137" spans="1:37" ht="15.5">
      <c r="A137" s="229"/>
      <c r="B137" s="414"/>
      <c r="C137" s="414"/>
      <c r="D137" s="415"/>
      <c r="E137" s="414"/>
      <c r="F137" s="144"/>
      <c r="G137" s="231"/>
      <c r="H137" s="231"/>
      <c r="I137" s="231"/>
      <c r="J137" s="231"/>
      <c r="K137" s="231"/>
      <c r="L137" s="231"/>
      <c r="M137" s="110"/>
      <c r="N137" s="110"/>
      <c r="Q137" s="22"/>
      <c r="R137" s="22"/>
      <c r="S137" s="22"/>
      <c r="T137" s="22"/>
      <c r="U137" s="22"/>
      <c r="V137" s="96"/>
      <c r="W137" s="96"/>
      <c r="X137" s="96"/>
      <c r="Y137" s="96"/>
      <c r="Z137" s="96"/>
      <c r="AA137" s="96"/>
      <c r="AB137" s="96"/>
      <c r="AE137"/>
      <c r="AF137"/>
      <c r="AG137"/>
      <c r="AH137"/>
      <c r="AI137"/>
      <c r="AJ137"/>
      <c r="AK137"/>
    </row>
    <row r="138" spans="1:37" ht="9" customHeight="1">
      <c r="A138" s="229"/>
      <c r="B138" s="415"/>
      <c r="C138" s="414"/>
      <c r="D138" s="414"/>
      <c r="E138" s="414"/>
      <c r="F138" s="144"/>
      <c r="G138" s="231"/>
      <c r="H138" s="231"/>
      <c r="I138" s="231"/>
      <c r="J138" s="231"/>
      <c r="K138" s="231"/>
      <c r="L138" s="231"/>
      <c r="M138" s="110"/>
      <c r="N138" s="110"/>
      <c r="Q138" s="22"/>
      <c r="R138" s="22"/>
      <c r="S138" s="22"/>
      <c r="T138" s="22"/>
      <c r="U138" s="22"/>
      <c r="V138" s="96"/>
      <c r="W138" s="96"/>
      <c r="X138" s="96"/>
      <c r="Y138" s="96"/>
      <c r="Z138" s="96"/>
      <c r="AA138" s="96"/>
      <c r="AB138" s="96"/>
      <c r="AE138"/>
      <c r="AF138"/>
      <c r="AG138"/>
      <c r="AH138"/>
      <c r="AI138"/>
      <c r="AJ138"/>
      <c r="AK138"/>
    </row>
    <row r="139" spans="1:37" ht="16" thickBot="1">
      <c r="B139" s="414"/>
      <c r="C139" s="414"/>
      <c r="D139" s="414"/>
      <c r="E139" s="414"/>
      <c r="F139" s="144"/>
      <c r="G139" s="231"/>
      <c r="H139" s="231"/>
      <c r="I139" s="231"/>
      <c r="J139" s="231"/>
      <c r="K139" s="231"/>
      <c r="L139" s="231"/>
      <c r="M139" s="110"/>
      <c r="N139" s="110"/>
      <c r="Q139" s="22"/>
      <c r="R139" s="22"/>
      <c r="S139" s="22"/>
      <c r="T139" s="22"/>
      <c r="U139" s="22"/>
      <c r="V139" s="96"/>
      <c r="W139" s="96"/>
      <c r="X139" s="96"/>
      <c r="Y139" s="96"/>
      <c r="Z139" s="96"/>
      <c r="AA139" s="96"/>
      <c r="AB139" s="96"/>
      <c r="AE139"/>
      <c r="AF139"/>
      <c r="AG139"/>
      <c r="AH139"/>
      <c r="AI139"/>
      <c r="AJ139"/>
      <c r="AK139"/>
    </row>
    <row r="140" spans="1:37" ht="16" customHeight="1">
      <c r="B140" s="586" t="s">
        <v>769</v>
      </c>
      <c r="C140" s="587"/>
      <c r="D140" s="587"/>
      <c r="E140" s="613"/>
      <c r="F140" s="144"/>
      <c r="G140" s="231"/>
      <c r="H140" s="231"/>
      <c r="I140" s="231"/>
      <c r="J140" s="231"/>
      <c r="K140" s="231"/>
      <c r="L140" s="231"/>
      <c r="M140" s="110"/>
      <c r="N140" s="110"/>
      <c r="Q140" s="22"/>
      <c r="R140" s="22"/>
      <c r="S140" s="22"/>
      <c r="T140" s="22"/>
      <c r="U140" s="22"/>
      <c r="V140" s="96"/>
      <c r="W140" s="96"/>
      <c r="X140" s="96"/>
      <c r="Y140" s="96"/>
      <c r="Z140" s="96"/>
      <c r="AA140" s="96"/>
      <c r="AB140" s="96"/>
      <c r="AE140"/>
      <c r="AF140"/>
      <c r="AG140"/>
      <c r="AH140"/>
      <c r="AI140"/>
      <c r="AJ140"/>
      <c r="AK140"/>
    </row>
    <row r="141" spans="1:37" ht="15.75" customHeight="1">
      <c r="B141" s="417"/>
      <c r="C141" s="418" t="str">
        <f>IF(Introduction!D23&lt;&gt;"",Introduction!D23,"Your community")</f>
        <v>Your community</v>
      </c>
      <c r="D141" s="418" t="str">
        <f>IF(AND(C142&gt;=66.5,C142&lt;73),'Hidden Sheet'!$A$259,IFERROR(INDEX('Hidden Sheet'!$A$257:$A$356,MATCH(SUM(C142,5),'Hidden Sheet'!$G$257:$G$356,0)),
IFERROR(INDEX('Hidden Sheet'!$A$257:$A$356,MATCH(SUM(C142,5.5),'Hidden Sheet'!$G$257:$G$356,0)),
IFERROR(INDEX('Hidden Sheet'!$A$257:$A$356,MATCH(SUM(C142,6),'Hidden Sheet'!$G$257:$G$356,0)),
IFERROR(INDEX('Hidden Sheet'!$A$257:$A$356,MATCH(SUM(C142,6.5),'Hidden Sheet'!$G$257:$G$356,0)),
IFERROR(INDEX('Hidden Sheet'!$A$257:$A$356,MATCH(SUM(C142,7),'Hidden Sheet'!$G$257:$G$356,0)),
IFERROR(INDEX('Hidden Sheet'!$A$257:$A$356,MATCH(SUM(C142,7.5),'Hidden Sheet'!$G$257:$G$356,0)),
IFERROR(INDEX('Hidden Sheet'!$A$257:$A$356,MATCH(SUM(C142,8),'Hidden Sheet'!$G$257:$G$356,0)),
IFERROR(INDEX('Hidden Sheet'!$A$257:$A$356,MATCH(SUM(C142,8.5),'Hidden Sheet'!$G$257:$G$356,0)),
IFERROR(INDEX('Hidden Sheet'!$A$257:$A$356,MATCH(SUM(C142,9),'Hidden Sheet'!$G$257:$G$356,0)),
IFERROR(INDEX('Hidden Sheet'!$A$257:$A$356,MATCH(SUM(C142,9.5),'Hidden Sheet'!$G$257:$G$356,0)),
IFERROR(INDEX('Hidden Sheet'!$A$257:$A$356,MATCH(SUM(C142,10),'Hidden Sheet'!$G$257:$G$356,0)),
IFERROR(INDEX('Hidden Sheet'!$A$257:$A$356,MATCH(SUM(C142,10.5),'Hidden Sheet'!$G$257:$G$356,0)),
IFERROR(INDEX('Hidden Sheet'!$A$257:$A$356,MATCH(SUM(C142,11),'Hidden Sheet'!$G$257:$G$356,0)),
IF(C142&gt;=73,'Hidden Sheet'!$A$257,IF(C142&lt;1.5,'Hidden Sheet'!$A$356,""))))))))))))))))</f>
        <v>McAllen</v>
      </c>
      <c r="E141" s="419" t="str">
        <f>IF(C142&gt;=73,'Hidden Sheet'!$A$258,IF(AND(C142&gt;=66.5,C142&lt;73),'Hidden Sheet'!$A$261,IFERROR(INDEX('Hidden Sheet'!$A$257:$A$356,MATCH(SUM(C142,2),'Hidden Sheet'!$G$257:$G$356,0)),
IFERROR(INDEX('Hidden Sheet'!$A$257:$A$356,MATCH(SUM(C142,2.5),'Hidden Sheet'!$G$257:$G$356,0)),
IFERROR(INDEX('Hidden Sheet'!$A$257:$A$356,MATCH(SUM(C142,3),'Hidden Sheet'!$G$257:$G$356,0)),
IFERROR(INDEX('Hidden Sheet'!$A$257:$A$356,MATCH(SUM(C142,3.5),'Hidden Sheet'!$G$257:$G$356,0)),
IFERROR(INDEX('Hidden Sheet'!$A$257:$A$356,MATCH(SUM(C142,4),'Hidden Sheet'!$G$257:$G$356,0)),
IFERROR(INDEX('Hidden Sheet'!$A$257:$A$356,MATCH(SUM(C142,4.5),'Hidden Sheet'!$G$257:$G$356,0)),
IFERROR(INDEX('Hidden Sheet'!$A$257:$A$356,MATCH(SUM(C142,0.5),'Hidden Sheet'!$G$257:$G$356,0)),
IFERROR(INDEX('Hidden Sheet'!$A$257:$A$356,MATCH(SUM(C142,1),'Hidden Sheet'!$G$257:$G$356,0)),
IFERROR(INDEX('Hidden Sheet'!$A$257:$A$356,MATCH(SUM(C142,1.5),'Hidden Sheet'!$G$257:$G$356,0)),
IFERROR(INDEX('Hidden Sheet'!$A$257:$A$356,MATCH(SUM(C142,-0.5),'Hidden Sheet'!$G$257:$G$356,0)),
IFERROR(INDEX('Hidden Sheet'!$A$257:$A$356,MATCH(SUM(C142,-1),'Hidden Sheet'!$G$257:$G$356,0)),
IFERROR(INDEX('Hidden Sheet'!$A$257:$A$356,MATCH(SUM(C142,-1.5),'Hidden Sheet'!$G$257:$G$356,0)),
IFERROR(INDEX('Hidden Sheet'!$A$257:$A$356,MATCH(C142,'Hidden Sheet'!$G$257:$G$356,0)),
IF(C142&lt;5,'Hidden Sheet'!$A$356,""))))))))))))))))</f>
        <v>Baton Rouge</v>
      </c>
      <c r="F141" s="144"/>
      <c r="G141" s="231"/>
      <c r="H141" s="231"/>
      <c r="I141" s="231"/>
      <c r="J141" s="231"/>
      <c r="K141" s="231"/>
      <c r="L141" s="231"/>
      <c r="M141" s="110"/>
      <c r="N141" s="110"/>
      <c r="Q141" s="22"/>
      <c r="R141" s="22"/>
      <c r="S141" s="22"/>
      <c r="T141" s="22"/>
      <c r="U141" s="22"/>
      <c r="V141" s="96"/>
      <c r="W141" s="96"/>
      <c r="X141" s="96"/>
      <c r="Y141" s="96"/>
      <c r="Z141" s="96"/>
      <c r="AA141" s="96"/>
      <c r="AB141" s="96"/>
      <c r="AE141"/>
      <c r="AF141"/>
      <c r="AG141"/>
      <c r="AH141"/>
      <c r="AI141"/>
      <c r="AJ141"/>
      <c r="AK141"/>
    </row>
    <row r="142" spans="1:37" ht="15.5">
      <c r="B142" s="438" t="s">
        <v>770</v>
      </c>
      <c r="C142" s="425">
        <f>SUM(C143:C147)</f>
        <v>0</v>
      </c>
      <c r="D142" s="426">
        <f>VLOOKUP(D141,'Hidden Sheet'!$A$257:$G$356,7,FALSE)</f>
        <v>5</v>
      </c>
      <c r="E142" s="427">
        <f>VLOOKUP(E141,'Hidden Sheet'!$A$257:$G$356,7,FALSE)</f>
        <v>3.5</v>
      </c>
      <c r="F142" s="144"/>
      <c r="G142" s="231"/>
      <c r="H142" s="231"/>
      <c r="I142" s="231"/>
      <c r="J142" s="231"/>
      <c r="L142" s="144"/>
      <c r="Q142" s="22"/>
      <c r="R142" s="22"/>
      <c r="S142" s="22"/>
      <c r="T142" s="22"/>
      <c r="U142" s="22"/>
      <c r="V142" s="22"/>
      <c r="W142" s="22"/>
      <c r="X142" s="22"/>
      <c r="Y142" s="22"/>
      <c r="Z142" s="22"/>
      <c r="AA142" s="22"/>
      <c r="AB142" s="22"/>
      <c r="AC142" s="22"/>
      <c r="AD142" s="22"/>
    </row>
    <row r="143" spans="1:37" ht="15.5">
      <c r="B143" s="439" t="s">
        <v>12</v>
      </c>
      <c r="C143" s="428">
        <f>E117</f>
        <v>0</v>
      </c>
      <c r="D143" s="429">
        <f>VLOOKUP(D141,'Hidden Sheet'!A$257:$C$356,3,FALSE)</f>
        <v>0</v>
      </c>
      <c r="E143" s="430">
        <f>VLOOKUP(E141,'Hidden Sheet'!A$257:$C$356,3,FALSE)</f>
        <v>0</v>
      </c>
      <c r="F143" s="144"/>
      <c r="G143" s="231"/>
      <c r="H143" s="231"/>
      <c r="I143" s="231"/>
      <c r="J143" s="231"/>
      <c r="L143" s="144"/>
      <c r="Q143" s="22"/>
      <c r="R143" s="22"/>
      <c r="S143" s="22"/>
      <c r="T143" s="22"/>
      <c r="U143" s="22"/>
      <c r="V143" s="22"/>
      <c r="W143" s="22"/>
      <c r="X143" s="22"/>
      <c r="Y143" s="22"/>
      <c r="Z143" s="22"/>
      <c r="AA143" s="22"/>
      <c r="AB143" s="22"/>
      <c r="AC143" s="22"/>
      <c r="AD143" s="22"/>
    </row>
    <row r="144" spans="1:37" ht="15.5">
      <c r="B144" s="439" t="s">
        <v>771</v>
      </c>
      <c r="C144" s="428">
        <f>E36</f>
        <v>0</v>
      </c>
      <c r="D144" s="429">
        <f>VLOOKUP(D141,'Hidden Sheet'!$A$257:$D$356,4,FALSE)</f>
        <v>3.5</v>
      </c>
      <c r="E144" s="430">
        <f>VLOOKUP(E141,'Hidden Sheet'!$A$257:$D$356,4,FALSE)</f>
        <v>1</v>
      </c>
      <c r="F144" s="144"/>
      <c r="G144" s="231"/>
      <c r="H144" s="231"/>
      <c r="I144" s="231"/>
      <c r="J144" s="231"/>
      <c r="L144" s="144"/>
      <c r="Q144" s="22"/>
      <c r="R144" s="22"/>
      <c r="S144" s="22"/>
      <c r="T144" s="22"/>
      <c r="U144" s="22"/>
      <c r="V144" s="22"/>
      <c r="W144" s="22"/>
      <c r="X144" s="22"/>
      <c r="Y144" s="22"/>
      <c r="Z144" s="22"/>
      <c r="AA144" s="22"/>
      <c r="AB144" s="22"/>
      <c r="AC144" s="22"/>
      <c r="AD144" s="22"/>
    </row>
    <row r="145" spans="1:30" ht="15.5">
      <c r="B145" s="440" t="s">
        <v>772</v>
      </c>
      <c r="C145" s="428">
        <f>E51</f>
        <v>0</v>
      </c>
      <c r="D145" s="429">
        <f>VLOOKUP(D141,'Hidden Sheet'!$A$257:$F$356,6,FALSE)</f>
        <v>0.5</v>
      </c>
      <c r="E145" s="431">
        <f>VLOOKUP(E141,'Hidden Sheet'!$A$257:$F$356,6,FALSE)</f>
        <v>1.5</v>
      </c>
      <c r="F145" s="144"/>
      <c r="G145" s="231"/>
      <c r="H145" s="231"/>
      <c r="I145" s="231"/>
      <c r="J145" s="231"/>
      <c r="L145" s="144"/>
      <c r="Q145" s="22"/>
      <c r="R145" s="22"/>
      <c r="S145" s="22"/>
      <c r="T145" s="22"/>
      <c r="U145" s="22"/>
      <c r="V145" s="22"/>
      <c r="W145" s="22"/>
      <c r="X145" s="22"/>
      <c r="Y145" s="22"/>
      <c r="Z145" s="22"/>
      <c r="AA145" s="22"/>
      <c r="AB145" s="22"/>
      <c r="AC145" s="22"/>
      <c r="AD145" s="22"/>
    </row>
    <row r="146" spans="1:30" ht="15.5">
      <c r="B146" s="439" t="s">
        <v>773</v>
      </c>
      <c r="C146" s="428">
        <f>E101</f>
        <v>0</v>
      </c>
      <c r="D146" s="429">
        <f>VLOOKUP(D141,'Hidden Sheet'!$A$257:$E$356,5,FALSE)</f>
        <v>1</v>
      </c>
      <c r="E146" s="432">
        <f>VLOOKUP(E141,'Hidden Sheet'!$A$257:$E$356,5,FALSE)</f>
        <v>1</v>
      </c>
      <c r="F146" s="144"/>
      <c r="G146" s="231"/>
      <c r="H146" s="231"/>
      <c r="I146" s="231"/>
      <c r="J146" s="231"/>
      <c r="L146" s="144"/>
      <c r="Q146" s="22"/>
      <c r="R146" s="22"/>
      <c r="S146" s="22"/>
      <c r="T146" s="22"/>
      <c r="U146" s="22"/>
      <c r="V146" s="22"/>
      <c r="W146" s="22"/>
      <c r="X146" s="22"/>
      <c r="Y146" s="22"/>
      <c r="Z146" s="22"/>
      <c r="AA146" s="22"/>
      <c r="AB146" s="22"/>
      <c r="AC146" s="22"/>
      <c r="AD146" s="22"/>
    </row>
    <row r="147" spans="1:30" ht="15.5">
      <c r="B147" s="440" t="s">
        <v>103</v>
      </c>
      <c r="C147" s="425">
        <f>E68</f>
        <v>0</v>
      </c>
      <c r="D147" s="433">
        <f>VLOOKUP(D141,'Hidden Sheet'!$A$257:$B$356,2,FALSE)</f>
        <v>0</v>
      </c>
      <c r="E147" s="434">
        <f>VLOOKUP(E141,'Hidden Sheet'!$A$257:$B$356,2,FALSE)</f>
        <v>0</v>
      </c>
      <c r="F147" s="144"/>
      <c r="G147" s="231"/>
      <c r="H147" s="231"/>
      <c r="I147" s="231"/>
      <c r="J147" s="231"/>
      <c r="L147" s="144"/>
      <c r="Q147" s="22"/>
      <c r="R147" s="22"/>
      <c r="S147" s="22"/>
      <c r="T147" s="22"/>
      <c r="U147" s="22"/>
      <c r="V147" s="22"/>
      <c r="W147" s="22"/>
      <c r="X147" s="22"/>
      <c r="Y147" s="22"/>
      <c r="Z147" s="22"/>
      <c r="AA147" s="22"/>
      <c r="AB147" s="22"/>
      <c r="AC147" s="22"/>
      <c r="AD147" s="22"/>
    </row>
    <row r="148" spans="1:30" ht="15.25" customHeight="1" thickBot="1">
      <c r="B148" s="441" t="s">
        <v>774</v>
      </c>
      <c r="C148" s="423" t="s">
        <v>749</v>
      </c>
      <c r="D148" s="435">
        <f>VLOOKUP(D141,'Hidden Sheet'!$A$254:$J$356,10,FALSE)</f>
        <v>97</v>
      </c>
      <c r="E148" s="436">
        <f>VLOOKUP(E141,'Hidden Sheet'!$A$254:$J$356,10,FALSE)</f>
        <v>100</v>
      </c>
      <c r="F148" s="144"/>
      <c r="H148" s="231"/>
      <c r="I148" s="231"/>
      <c r="J148" s="231"/>
      <c r="L148" s="144"/>
      <c r="Q148" s="22"/>
      <c r="R148" s="22"/>
      <c r="S148" s="22"/>
      <c r="T148" s="22"/>
      <c r="U148" s="22"/>
      <c r="V148" s="22"/>
      <c r="W148" s="22"/>
      <c r="X148" s="22"/>
      <c r="Y148" s="22"/>
      <c r="Z148" s="22"/>
      <c r="AA148" s="22"/>
      <c r="AB148" s="22"/>
      <c r="AC148" s="22"/>
      <c r="AD148" s="22"/>
    </row>
    <row r="149" spans="1:30" ht="15.5">
      <c r="B149" s="414"/>
      <c r="C149" s="414"/>
      <c r="D149" s="414"/>
      <c r="E149" s="414"/>
      <c r="F149" s="144"/>
      <c r="G149" s="231"/>
      <c r="H149" s="231"/>
      <c r="I149" s="231"/>
      <c r="J149" s="231"/>
      <c r="L149" s="144"/>
      <c r="Q149" s="22"/>
      <c r="R149" s="22"/>
      <c r="S149" s="22"/>
      <c r="T149" s="22"/>
      <c r="U149" s="22"/>
      <c r="V149" s="22"/>
      <c r="W149" s="22"/>
      <c r="X149" s="22"/>
      <c r="Y149" s="22"/>
      <c r="Z149" s="22"/>
      <c r="AA149" s="22"/>
      <c r="AB149" s="22"/>
      <c r="AC149" s="22"/>
      <c r="AD149" s="22"/>
    </row>
    <row r="150" spans="1:30" ht="15.5">
      <c r="B150" s="437" t="s">
        <v>6</v>
      </c>
      <c r="C150" s="414"/>
      <c r="D150" s="414"/>
      <c r="E150" s="414"/>
      <c r="G150" s="231"/>
      <c r="H150" s="231"/>
      <c r="I150" s="231"/>
      <c r="J150" s="231"/>
      <c r="L150" s="144"/>
      <c r="Q150" s="22"/>
      <c r="R150" s="22"/>
      <c r="S150" s="22"/>
      <c r="T150" s="22"/>
      <c r="U150" s="22"/>
      <c r="V150" s="22"/>
      <c r="W150" s="22"/>
      <c r="X150" s="22"/>
      <c r="Y150" s="22"/>
      <c r="Z150" s="22"/>
      <c r="AA150" s="22"/>
      <c r="AB150" s="22"/>
      <c r="AC150" s="22"/>
      <c r="AD150" s="22"/>
    </row>
    <row r="151" spans="1:30">
      <c r="B151" s="144"/>
      <c r="C151" s="144"/>
      <c r="D151" s="144"/>
      <c r="E151" s="144"/>
      <c r="F151" s="229"/>
      <c r="G151" s="144"/>
      <c r="Q151" s="22"/>
      <c r="R151" s="22"/>
      <c r="S151" s="22"/>
      <c r="T151" s="22"/>
      <c r="U151" s="22"/>
      <c r="V151" s="22"/>
      <c r="W151" s="22"/>
      <c r="X151" s="22"/>
      <c r="Y151" s="22"/>
      <c r="Z151" s="22"/>
      <c r="AA151" s="22"/>
      <c r="AB151" s="22"/>
      <c r="AC151" s="22"/>
      <c r="AD151" s="22"/>
    </row>
    <row r="152" spans="1:30">
      <c r="B152" s="144"/>
      <c r="C152" s="144"/>
      <c r="D152" s="144"/>
      <c r="E152" s="144"/>
      <c r="F152" s="144"/>
      <c r="G152" s="144"/>
      <c r="Q152" s="22"/>
      <c r="R152" s="22"/>
      <c r="S152" s="22"/>
      <c r="T152" s="22"/>
      <c r="U152" s="22"/>
      <c r="V152" s="22"/>
      <c r="W152" s="22"/>
      <c r="X152" s="22"/>
      <c r="Y152" s="22"/>
      <c r="Z152" s="22"/>
      <c r="AA152" s="22"/>
      <c r="AB152" s="22"/>
      <c r="AC152" s="22"/>
      <c r="AD152" s="22"/>
    </row>
    <row r="153" spans="1:30">
      <c r="B153" s="144"/>
      <c r="C153" s="144"/>
      <c r="D153" s="144"/>
      <c r="E153" s="144"/>
      <c r="F153" s="144"/>
      <c r="G153" s="144"/>
      <c r="Q153" s="22"/>
      <c r="R153" s="22"/>
      <c r="S153" s="22"/>
      <c r="T153" s="22"/>
      <c r="U153" s="22"/>
      <c r="V153" s="22"/>
      <c r="W153" s="22"/>
      <c r="X153" s="22"/>
      <c r="Y153" s="22"/>
      <c r="Z153" s="22"/>
      <c r="AA153" s="22"/>
      <c r="AB153" s="22"/>
      <c r="AC153" s="22"/>
      <c r="AD153" s="22"/>
    </row>
    <row r="154" spans="1:30">
      <c r="B154" s="144"/>
      <c r="C154" s="144"/>
      <c r="D154" s="144"/>
      <c r="E154" s="144"/>
      <c r="F154" s="144"/>
      <c r="G154" s="144"/>
      <c r="Q154" s="22"/>
      <c r="R154" s="22"/>
      <c r="S154" s="22"/>
      <c r="T154" s="22"/>
      <c r="U154" s="22"/>
      <c r="V154" s="22"/>
      <c r="W154" s="22"/>
      <c r="X154" s="22"/>
      <c r="Y154" s="22"/>
      <c r="Z154" s="22"/>
      <c r="AA154" s="22"/>
      <c r="AB154" s="22"/>
      <c r="AC154" s="22"/>
      <c r="AD154" s="22"/>
    </row>
    <row r="155" spans="1:30">
      <c r="B155" s="144"/>
      <c r="C155" s="144"/>
      <c r="D155" s="144"/>
      <c r="E155" s="144"/>
      <c r="F155" s="144"/>
      <c r="G155" s="144"/>
      <c r="Q155" s="22"/>
      <c r="R155" s="22"/>
      <c r="S155" s="22"/>
      <c r="T155" s="22"/>
      <c r="U155" s="22"/>
      <c r="V155" s="22"/>
      <c r="W155" s="22"/>
      <c r="X155" s="22"/>
      <c r="Y155" s="22"/>
      <c r="Z155" s="22"/>
      <c r="AA155" s="22"/>
      <c r="AB155" s="22"/>
      <c r="AC155" s="22"/>
      <c r="AD155" s="22"/>
    </row>
    <row r="156" spans="1:30">
      <c r="B156" s="144"/>
      <c r="C156" s="144"/>
      <c r="D156" s="144"/>
      <c r="E156" s="144"/>
      <c r="F156" s="144"/>
      <c r="G156" s="144"/>
      <c r="Q156" s="22"/>
      <c r="R156" s="22"/>
      <c r="S156" s="22"/>
      <c r="T156" s="22"/>
      <c r="U156" s="22"/>
      <c r="V156" s="22"/>
      <c r="W156" s="22"/>
      <c r="X156" s="22"/>
      <c r="Y156" s="22"/>
      <c r="Z156" s="22"/>
      <c r="AA156" s="22"/>
      <c r="AB156" s="22"/>
      <c r="AC156" s="22"/>
      <c r="AD156" s="22"/>
    </row>
    <row r="157" spans="1:30" s="22" customFormat="1">
      <c r="A157" s="144"/>
      <c r="B157" s="144"/>
      <c r="C157" s="144"/>
      <c r="D157" s="144"/>
      <c r="E157" s="144"/>
      <c r="F157" s="144"/>
      <c r="G157" s="144"/>
      <c r="H157" s="144"/>
      <c r="I157" s="144"/>
      <c r="J157" s="144"/>
      <c r="K157" s="144"/>
    </row>
    <row r="158" spans="1:30" s="22" customFormat="1">
      <c r="A158" s="144"/>
      <c r="B158" s="144"/>
      <c r="C158" s="144"/>
      <c r="D158" s="144"/>
      <c r="E158" s="144"/>
      <c r="F158" s="144"/>
      <c r="G158" s="144"/>
      <c r="H158" s="144"/>
      <c r="I158" s="144"/>
      <c r="J158" s="144"/>
      <c r="K158" s="144"/>
    </row>
    <row r="159" spans="1:30" s="22" customFormat="1">
      <c r="A159" s="144"/>
      <c r="B159" s="144"/>
      <c r="C159" s="144"/>
      <c r="D159" s="144"/>
      <c r="E159" s="144"/>
      <c r="F159" s="144"/>
      <c r="G159" s="144"/>
      <c r="H159" s="144"/>
      <c r="I159" s="144"/>
      <c r="J159" s="144"/>
      <c r="K159" s="144"/>
    </row>
    <row r="160" spans="1:30" s="22" customFormat="1">
      <c r="A160" s="144"/>
      <c r="B160" s="144"/>
      <c r="C160" s="144"/>
      <c r="D160" s="144"/>
      <c r="E160" s="144"/>
      <c r="F160" s="144"/>
      <c r="G160" s="144"/>
      <c r="H160" s="144"/>
      <c r="I160" s="144"/>
      <c r="J160" s="144"/>
      <c r="K160" s="144"/>
    </row>
    <row r="161" spans="1:11" s="22" customFormat="1">
      <c r="A161" s="144"/>
      <c r="B161" s="144"/>
      <c r="C161" s="144"/>
      <c r="D161" s="144"/>
      <c r="E161" s="144"/>
      <c r="F161" s="144"/>
      <c r="G161" s="144"/>
      <c r="H161" s="144"/>
      <c r="I161" s="144"/>
      <c r="J161" s="144"/>
      <c r="K161" s="144"/>
    </row>
    <row r="162" spans="1:11" s="22" customFormat="1">
      <c r="A162" s="144"/>
      <c r="B162" s="144"/>
      <c r="C162" s="144"/>
      <c r="D162" s="144"/>
      <c r="E162" s="144"/>
      <c r="F162" s="144"/>
      <c r="G162" s="144"/>
      <c r="H162" s="144"/>
      <c r="I162" s="144"/>
      <c r="J162" s="144"/>
      <c r="K162" s="144"/>
    </row>
    <row r="163" spans="1:11" s="22" customFormat="1">
      <c r="A163" s="144"/>
      <c r="B163" s="144"/>
      <c r="C163" s="144"/>
      <c r="D163" s="144"/>
      <c r="E163" s="144"/>
      <c r="F163" s="144"/>
      <c r="G163" s="144"/>
      <c r="H163" s="144"/>
      <c r="I163" s="144"/>
      <c r="J163" s="144"/>
      <c r="K163" s="144"/>
    </row>
    <row r="164" spans="1:11" s="22" customFormat="1">
      <c r="A164" s="144"/>
      <c r="B164" s="144"/>
      <c r="C164" s="144"/>
      <c r="D164" s="144"/>
      <c r="E164" s="144"/>
      <c r="F164" s="144"/>
      <c r="G164" s="144"/>
      <c r="H164" s="144"/>
      <c r="I164" s="144"/>
      <c r="J164" s="144"/>
      <c r="K164" s="144"/>
    </row>
    <row r="165" spans="1:11" s="22" customFormat="1">
      <c r="A165" s="144"/>
      <c r="B165" s="144"/>
      <c r="C165" s="144"/>
      <c r="D165" s="144"/>
      <c r="E165" s="144"/>
      <c r="F165" s="144"/>
      <c r="G165" s="144"/>
      <c r="H165" s="144"/>
      <c r="I165" s="144"/>
      <c r="J165" s="144"/>
      <c r="K165" s="144"/>
    </row>
    <row r="166" spans="1:11" s="22" customFormat="1">
      <c r="A166" s="212"/>
      <c r="B166" s="212"/>
      <c r="C166" s="212"/>
      <c r="D166" s="212"/>
      <c r="E166" s="212"/>
      <c r="F166" s="144"/>
      <c r="G166" s="144"/>
      <c r="H166" s="144"/>
      <c r="I166" s="144"/>
      <c r="J166" s="144"/>
      <c r="K166" s="144"/>
    </row>
    <row r="167" spans="1:11" s="22" customFormat="1">
      <c r="A167" s="212"/>
      <c r="B167" s="212"/>
      <c r="C167" s="212"/>
      <c r="D167" s="212"/>
      <c r="E167" s="212"/>
      <c r="F167" s="144"/>
      <c r="G167" s="144"/>
      <c r="H167" s="144"/>
      <c r="I167" s="144"/>
      <c r="J167" s="144"/>
      <c r="K167" s="144"/>
    </row>
    <row r="168" spans="1:11" s="22" customFormat="1">
      <c r="A168" s="212"/>
      <c r="B168" s="212"/>
      <c r="C168" s="212"/>
      <c r="D168" s="212"/>
      <c r="E168" s="212"/>
      <c r="F168" s="144"/>
      <c r="G168" s="144"/>
      <c r="H168" s="144"/>
      <c r="I168" s="144"/>
      <c r="J168" s="144"/>
      <c r="K168" s="144"/>
    </row>
    <row r="169" spans="1:11" s="22" customFormat="1">
      <c r="A169" s="212"/>
      <c r="B169" s="212"/>
      <c r="C169" s="212"/>
      <c r="D169" s="212"/>
      <c r="E169" s="212"/>
      <c r="F169" s="144"/>
      <c r="G169" s="144"/>
      <c r="H169" s="144"/>
      <c r="I169" s="144"/>
      <c r="J169" s="144"/>
      <c r="K169" s="144"/>
    </row>
    <row r="170" spans="1:11" s="22" customFormat="1">
      <c r="A170" s="212"/>
      <c r="B170" s="212"/>
      <c r="C170" s="212"/>
      <c r="D170" s="212"/>
      <c r="E170" s="212"/>
      <c r="F170" s="144"/>
      <c r="G170" s="144"/>
      <c r="H170" s="144"/>
      <c r="I170" s="144"/>
      <c r="J170" s="144"/>
      <c r="K170" s="144"/>
    </row>
    <row r="171" spans="1:11" s="22" customFormat="1">
      <c r="A171" s="212"/>
      <c r="B171" s="212"/>
      <c r="C171" s="212"/>
      <c r="D171" s="212"/>
      <c r="E171" s="212"/>
      <c r="F171" s="144"/>
      <c r="G171" s="144"/>
      <c r="H171" s="144"/>
      <c r="I171" s="144"/>
      <c r="J171" s="144"/>
      <c r="K171" s="144"/>
    </row>
    <row r="172" spans="1:11" s="22" customFormat="1">
      <c r="A172" s="212"/>
      <c r="B172" s="212"/>
      <c r="C172" s="212"/>
      <c r="D172" s="212"/>
      <c r="E172" s="212"/>
      <c r="F172" s="144"/>
      <c r="G172" s="144"/>
      <c r="H172" s="144"/>
      <c r="I172" s="144"/>
      <c r="J172" s="144"/>
      <c r="K172" s="144"/>
    </row>
    <row r="173" spans="1:11" s="22" customFormat="1">
      <c r="A173" s="212"/>
      <c r="B173" s="212"/>
      <c r="C173" s="212"/>
      <c r="D173" s="212"/>
      <c r="E173" s="212"/>
      <c r="F173" s="144"/>
      <c r="G173" s="144"/>
      <c r="H173" s="144"/>
      <c r="I173" s="144"/>
      <c r="J173" s="144"/>
      <c r="K173" s="144"/>
    </row>
    <row r="174" spans="1:11" s="22" customFormat="1">
      <c r="A174" s="212"/>
      <c r="B174" s="212"/>
      <c r="C174" s="212"/>
      <c r="D174" s="212"/>
      <c r="E174" s="212"/>
      <c r="F174" s="144"/>
      <c r="G174" s="144"/>
      <c r="H174" s="144"/>
      <c r="I174" s="144"/>
      <c r="J174" s="144"/>
      <c r="K174" s="144"/>
    </row>
    <row r="175" spans="1:11" s="22" customFormat="1">
      <c r="A175" s="212"/>
      <c r="B175" s="212"/>
      <c r="C175" s="212"/>
      <c r="D175" s="212"/>
      <c r="E175" s="212"/>
      <c r="F175" s="144"/>
      <c r="G175" s="144"/>
      <c r="H175" s="144"/>
      <c r="I175" s="144"/>
      <c r="J175" s="144"/>
      <c r="K175" s="144"/>
    </row>
    <row r="176" spans="1:11" s="22" customFormat="1">
      <c r="A176" s="212"/>
      <c r="B176" s="212"/>
      <c r="C176" s="212"/>
      <c r="D176" s="212"/>
      <c r="E176" s="212"/>
      <c r="F176" s="144"/>
      <c r="G176" s="144"/>
      <c r="H176" s="144"/>
      <c r="I176" s="144"/>
      <c r="J176" s="144"/>
      <c r="K176" s="144"/>
    </row>
    <row r="177" spans="1:33" s="22" customFormat="1">
      <c r="A177" s="212"/>
      <c r="B177" s="212"/>
      <c r="C177" s="212"/>
      <c r="D177" s="212"/>
      <c r="E177" s="212"/>
      <c r="F177" s="144"/>
      <c r="G177" s="144"/>
      <c r="H177" s="144"/>
      <c r="I177" s="144"/>
      <c r="J177" s="144"/>
      <c r="K177" s="144"/>
    </row>
    <row r="178" spans="1:33" s="22" customFormat="1">
      <c r="A178" s="212"/>
      <c r="B178" s="212"/>
      <c r="C178" s="212"/>
      <c r="D178" s="212"/>
      <c r="E178" s="212"/>
      <c r="F178" s="144"/>
      <c r="G178" s="144"/>
      <c r="H178" s="144"/>
      <c r="I178" s="144"/>
      <c r="J178" s="144"/>
      <c r="K178" s="144"/>
    </row>
    <row r="179" spans="1:33" s="22" customFormat="1">
      <c r="A179" s="212"/>
      <c r="B179" s="212"/>
      <c r="C179" s="212"/>
      <c r="D179" s="212"/>
      <c r="E179" s="212"/>
      <c r="F179" s="212"/>
      <c r="G179" s="212"/>
      <c r="H179" s="212"/>
      <c r="I179" s="212"/>
      <c r="J179" s="212"/>
      <c r="K179" s="212"/>
      <c r="L179" s="209"/>
      <c r="M179" s="209"/>
      <c r="N179" s="209"/>
      <c r="O179" s="209"/>
      <c r="P179" s="209"/>
      <c r="Q179" s="209"/>
      <c r="R179" s="209"/>
    </row>
    <row r="180" spans="1:33" s="22" customFormat="1">
      <c r="A180" s="212"/>
      <c r="B180" s="212"/>
      <c r="C180" s="212"/>
      <c r="D180" s="212"/>
      <c r="E180" s="212"/>
      <c r="F180" s="212"/>
      <c r="G180" s="212"/>
      <c r="H180" s="212"/>
      <c r="I180" s="212"/>
      <c r="J180" s="212"/>
      <c r="K180" s="212"/>
      <c r="L180" s="209"/>
      <c r="M180" s="209"/>
      <c r="N180" s="209"/>
      <c r="O180" s="209"/>
      <c r="P180" s="209"/>
      <c r="Q180" s="209"/>
      <c r="R180" s="209"/>
    </row>
    <row r="181" spans="1:33" s="22" customFormat="1">
      <c r="A181" s="212"/>
      <c r="B181" s="212"/>
      <c r="C181" s="212"/>
      <c r="D181" s="212"/>
      <c r="E181" s="212"/>
      <c r="F181" s="212"/>
      <c r="G181" s="212"/>
      <c r="H181" s="212"/>
      <c r="I181" s="212"/>
      <c r="J181" s="212"/>
      <c r="K181" s="212"/>
      <c r="L181" s="209"/>
      <c r="M181" s="209"/>
      <c r="N181" s="209"/>
      <c r="O181" s="209"/>
      <c r="P181" s="209"/>
      <c r="Q181" s="209"/>
      <c r="R181" s="209"/>
    </row>
    <row r="182" spans="1:33" s="22" customFormat="1">
      <c r="A182" s="212"/>
      <c r="B182" s="212"/>
      <c r="C182" s="212"/>
      <c r="D182" s="212"/>
      <c r="E182" s="212"/>
      <c r="F182" s="212"/>
      <c r="G182" s="212"/>
      <c r="H182" s="212"/>
      <c r="I182" s="212"/>
      <c r="J182" s="529"/>
      <c r="K182" s="529"/>
      <c r="L182" s="473"/>
      <c r="M182" s="473"/>
      <c r="N182" s="473"/>
      <c r="O182" s="473"/>
      <c r="P182" s="473"/>
      <c r="Q182" s="473"/>
      <c r="R182" s="473"/>
      <c r="S182" s="96"/>
      <c r="T182" s="96"/>
      <c r="U182" s="96"/>
      <c r="V182" s="96"/>
      <c r="W182" s="96"/>
      <c r="X182" s="96"/>
      <c r="Y182" s="96"/>
      <c r="Z182" s="96"/>
      <c r="AA182" s="96"/>
      <c r="AB182" s="96"/>
      <c r="AC182" s="96"/>
      <c r="AD182" s="96"/>
      <c r="AE182" s="96"/>
      <c r="AF182" s="96"/>
      <c r="AG182" s="96"/>
    </row>
    <row r="183" spans="1:33" s="22" customFormat="1">
      <c r="A183" s="212"/>
      <c r="B183" s="212"/>
      <c r="C183" s="212"/>
      <c r="D183" s="212"/>
      <c r="E183" s="212"/>
      <c r="F183" s="212"/>
      <c r="G183" s="212"/>
      <c r="H183" s="212"/>
      <c r="I183" s="212"/>
      <c r="J183" s="529"/>
      <c r="K183" s="529"/>
      <c r="L183" s="473"/>
      <c r="M183" s="473"/>
      <c r="N183" s="473"/>
      <c r="O183" s="473"/>
      <c r="P183" s="473"/>
      <c r="Q183" s="473"/>
      <c r="R183" s="473"/>
      <c r="S183" s="96"/>
      <c r="T183" s="96"/>
      <c r="U183" s="96"/>
      <c r="V183" s="96"/>
      <c r="W183" s="96"/>
      <c r="X183" s="96"/>
      <c r="Y183" s="96"/>
      <c r="Z183" s="96"/>
      <c r="AA183" s="96"/>
      <c r="AB183" s="96"/>
      <c r="AC183" s="96"/>
      <c r="AD183" s="96"/>
      <c r="AE183" s="96"/>
      <c r="AF183" s="96"/>
      <c r="AG183" s="96"/>
    </row>
    <row r="184" spans="1:33" s="22" customFormat="1">
      <c r="A184" s="212"/>
      <c r="B184" s="618"/>
      <c r="C184" s="618"/>
      <c r="D184" s="618"/>
      <c r="E184" s="618"/>
      <c r="F184" s="212"/>
      <c r="G184" s="212"/>
      <c r="H184" s="212"/>
      <c r="I184" s="212"/>
      <c r="J184" s="529"/>
      <c r="K184" s="529"/>
      <c r="L184" s="473"/>
      <c r="M184" s="473"/>
      <c r="N184" s="473"/>
      <c r="O184" s="473"/>
      <c r="P184" s="473"/>
      <c r="Q184" s="473"/>
      <c r="R184" s="473"/>
      <c r="S184" s="96"/>
      <c r="T184" s="96"/>
      <c r="U184" s="96"/>
      <c r="V184" s="96"/>
      <c r="W184" s="96"/>
      <c r="X184" s="96"/>
      <c r="Y184" s="96"/>
      <c r="Z184" s="96"/>
      <c r="AA184" s="96"/>
      <c r="AB184" s="96"/>
      <c r="AC184" s="96"/>
      <c r="AD184" s="96"/>
      <c r="AE184" s="96"/>
      <c r="AF184" s="96"/>
      <c r="AG184" s="96"/>
    </row>
    <row r="185" spans="1:33" s="22" customFormat="1">
      <c r="A185" s="530"/>
      <c r="B185" s="212" t="str">
        <f>Analysis!$E$34</f>
        <v>Your community</v>
      </c>
      <c r="C185" s="212" t="s">
        <v>775</v>
      </c>
      <c r="D185" s="530"/>
      <c r="E185" s="530"/>
      <c r="F185" s="212"/>
      <c r="G185" s="212"/>
      <c r="H185" s="212"/>
      <c r="I185" s="212"/>
      <c r="J185" s="529"/>
      <c r="K185" s="529"/>
      <c r="L185" s="473"/>
      <c r="M185" s="473"/>
      <c r="N185" s="473"/>
      <c r="O185" s="473"/>
      <c r="P185" s="473"/>
      <c r="Q185" s="473"/>
      <c r="R185" s="473"/>
      <c r="S185" s="96"/>
      <c r="T185" s="96"/>
      <c r="U185" s="96"/>
      <c r="V185" s="96"/>
      <c r="W185" s="96"/>
      <c r="X185" s="96"/>
      <c r="Y185" s="96"/>
      <c r="Z185" s="96"/>
      <c r="AA185" s="96"/>
      <c r="AB185" s="96"/>
      <c r="AC185" s="96"/>
      <c r="AD185" s="96"/>
      <c r="AE185" s="96"/>
      <c r="AF185" s="96"/>
      <c r="AG185" s="96"/>
    </row>
    <row r="186" spans="1:33" s="22" customFormat="1">
      <c r="A186" s="530" t="s">
        <v>776</v>
      </c>
      <c r="B186" s="530">
        <f>Analysis!E36</f>
        <v>0</v>
      </c>
      <c r="C186" s="530">
        <f>Analysis!D36</f>
        <v>3</v>
      </c>
      <c r="D186" s="530"/>
      <c r="E186" s="530"/>
      <c r="F186" s="212"/>
      <c r="G186" s="212"/>
      <c r="H186" s="212"/>
      <c r="I186" s="212"/>
      <c r="J186" s="529"/>
      <c r="K186" s="529"/>
      <c r="L186" s="473"/>
      <c r="M186" s="473"/>
      <c r="N186" s="473"/>
      <c r="O186" s="473"/>
      <c r="P186" s="473"/>
      <c r="Q186" s="473"/>
      <c r="R186" s="473"/>
      <c r="S186" s="96"/>
      <c r="T186" s="96"/>
      <c r="U186" s="96"/>
      <c r="V186" s="96"/>
      <c r="W186" s="96"/>
      <c r="X186" s="96"/>
      <c r="Y186" s="96"/>
      <c r="Z186" s="96"/>
      <c r="AA186" s="96"/>
      <c r="AB186" s="96"/>
      <c r="AC186" s="96"/>
      <c r="AD186" s="96"/>
      <c r="AE186" s="96"/>
      <c r="AF186" s="96"/>
      <c r="AG186" s="96"/>
    </row>
    <row r="187" spans="1:33" s="22" customFormat="1">
      <c r="A187" s="212" t="s">
        <v>771</v>
      </c>
      <c r="B187" s="530">
        <f>Analysis!E51</f>
        <v>0</v>
      </c>
      <c r="C187" s="530">
        <f>Analysis!D51</f>
        <v>7.5</v>
      </c>
      <c r="D187" s="530"/>
      <c r="E187" s="530"/>
      <c r="F187" s="212"/>
      <c r="G187" s="212"/>
      <c r="H187" s="212"/>
      <c r="I187" s="212"/>
      <c r="J187" s="529"/>
      <c r="K187" s="529"/>
      <c r="L187" s="473"/>
      <c r="M187" s="473"/>
      <c r="N187" s="473"/>
      <c r="O187" s="473"/>
      <c r="P187" s="473"/>
      <c r="Q187" s="473"/>
      <c r="R187" s="473"/>
      <c r="S187" s="96"/>
      <c r="T187" s="96"/>
      <c r="U187" s="96"/>
      <c r="V187" s="96"/>
      <c r="W187" s="96"/>
      <c r="X187" s="96"/>
      <c r="Y187" s="96"/>
      <c r="Z187" s="96"/>
      <c r="AA187" s="96"/>
      <c r="AB187" s="96"/>
      <c r="AC187" s="96"/>
      <c r="AD187" s="96"/>
      <c r="AE187" s="96"/>
      <c r="AF187" s="96"/>
      <c r="AG187" s="96"/>
    </row>
    <row r="188" spans="1:33" s="22" customFormat="1">
      <c r="A188" s="530" t="s">
        <v>772</v>
      </c>
      <c r="B188" s="530">
        <f>Analysis!E68</f>
        <v>0</v>
      </c>
      <c r="C188" s="530">
        <f>Analysis!D68</f>
        <v>7.5</v>
      </c>
      <c r="D188" s="530"/>
      <c r="E188" s="530"/>
      <c r="F188" s="212"/>
      <c r="G188" s="212"/>
      <c r="H188" s="212"/>
      <c r="I188" s="212"/>
      <c r="J188" s="529"/>
      <c r="K188" s="529"/>
      <c r="L188" s="473"/>
      <c r="M188" s="473"/>
      <c r="N188" s="473"/>
      <c r="O188" s="473"/>
      <c r="P188" s="473"/>
      <c r="Q188" s="473"/>
      <c r="R188" s="473"/>
      <c r="S188" s="96"/>
      <c r="T188" s="96"/>
      <c r="U188" s="96"/>
      <c r="V188" s="96"/>
      <c r="W188" s="96"/>
      <c r="X188" s="96"/>
      <c r="Y188" s="96"/>
      <c r="Z188" s="96"/>
      <c r="AA188" s="96"/>
      <c r="AB188" s="96"/>
      <c r="AC188" s="96"/>
      <c r="AD188" s="96"/>
      <c r="AE188" s="96"/>
      <c r="AF188" s="96"/>
      <c r="AG188" s="96"/>
    </row>
    <row r="189" spans="1:33">
      <c r="A189" s="530" t="s">
        <v>777</v>
      </c>
      <c r="B189" s="530">
        <f>Analysis!E101</f>
        <v>0</v>
      </c>
      <c r="C189" s="530">
        <f>Analysis!D101</f>
        <v>6.5</v>
      </c>
      <c r="D189" s="530"/>
      <c r="E189" s="530"/>
      <c r="F189" s="212"/>
      <c r="G189" s="212"/>
      <c r="H189" s="212"/>
      <c r="I189" s="212"/>
      <c r="J189" s="529"/>
      <c r="K189" s="529"/>
      <c r="L189" s="473"/>
      <c r="M189" s="473"/>
      <c r="N189" s="473"/>
      <c r="O189" s="473"/>
      <c r="P189" s="473"/>
      <c r="Q189" s="473"/>
      <c r="R189" s="473"/>
      <c r="S189" s="96"/>
      <c r="T189" s="96"/>
      <c r="U189" s="96"/>
      <c r="V189" s="96"/>
      <c r="W189" s="96"/>
      <c r="X189" s="96"/>
      <c r="Y189" s="96"/>
      <c r="Z189" s="96"/>
      <c r="AA189" s="96"/>
      <c r="AB189" s="96"/>
      <c r="AC189" s="96"/>
      <c r="AD189" s="96"/>
    </row>
    <row r="190" spans="1:33">
      <c r="A190" s="530" t="s">
        <v>1592</v>
      </c>
      <c r="B190" s="530">
        <f>Analysis!E117</f>
        <v>0</v>
      </c>
      <c r="C190" s="530">
        <f>Analysis!D117</f>
        <v>2.5</v>
      </c>
      <c r="D190" s="530"/>
      <c r="E190" s="530"/>
      <c r="F190" s="212"/>
      <c r="G190" s="212"/>
      <c r="H190" s="212"/>
      <c r="I190" s="212"/>
      <c r="J190" s="529"/>
      <c r="K190" s="529"/>
      <c r="L190" s="473"/>
      <c r="M190" s="473"/>
      <c r="N190" s="473"/>
      <c r="O190" s="473"/>
      <c r="P190" s="473"/>
      <c r="Q190" s="473"/>
      <c r="R190" s="473"/>
      <c r="S190" s="96"/>
      <c r="T190" s="96"/>
      <c r="U190" s="96"/>
      <c r="V190" s="96"/>
      <c r="W190" s="96"/>
      <c r="X190" s="96"/>
      <c r="Y190" s="96"/>
      <c r="Z190" s="96"/>
      <c r="AA190" s="96"/>
      <c r="AB190" s="96"/>
      <c r="AC190" s="96"/>
      <c r="AD190" s="96"/>
    </row>
    <row r="191" spans="1:33">
      <c r="A191" s="530" t="s">
        <v>778</v>
      </c>
      <c r="B191" s="531">
        <f>Analysis!E35</f>
        <v>0</v>
      </c>
      <c r="C191" s="531">
        <f>Analysis!D35</f>
        <v>26</v>
      </c>
      <c r="D191" s="530"/>
      <c r="E191" s="530"/>
      <c r="F191" s="212"/>
      <c r="G191" s="212"/>
      <c r="H191" s="212"/>
      <c r="I191" s="212"/>
      <c r="J191" s="529"/>
      <c r="K191" s="529"/>
      <c r="L191" s="473"/>
      <c r="M191" s="473"/>
      <c r="N191" s="473"/>
      <c r="O191" s="473"/>
      <c r="P191" s="473"/>
      <c r="Q191" s="473"/>
      <c r="R191" s="473"/>
      <c r="S191" s="96"/>
      <c r="T191" s="96"/>
      <c r="U191" s="96"/>
      <c r="V191" s="96"/>
      <c r="W191" s="96"/>
      <c r="X191" s="96"/>
      <c r="Y191" s="96"/>
      <c r="Z191" s="96"/>
      <c r="AA191" s="96"/>
      <c r="AB191" s="96"/>
      <c r="AC191" s="96"/>
      <c r="AD191" s="96"/>
    </row>
    <row r="192" spans="1:33">
      <c r="A192" s="212"/>
      <c r="B192" s="530"/>
      <c r="C192" s="530"/>
      <c r="D192" s="530"/>
      <c r="E192" s="530"/>
      <c r="F192" s="212"/>
      <c r="G192" s="212"/>
      <c r="H192" s="212"/>
      <c r="I192" s="212"/>
      <c r="J192" s="529"/>
      <c r="K192" s="529"/>
      <c r="L192" s="473"/>
      <c r="M192" s="473"/>
      <c r="N192" s="473"/>
      <c r="O192" s="473"/>
      <c r="P192" s="473"/>
      <c r="Q192" s="473"/>
      <c r="R192" s="473"/>
      <c r="S192" s="96"/>
      <c r="T192" s="96"/>
      <c r="U192" s="96"/>
      <c r="V192" s="96"/>
      <c r="W192" s="96"/>
      <c r="X192" s="96"/>
      <c r="Y192" s="96"/>
      <c r="Z192" s="96"/>
      <c r="AA192" s="96"/>
      <c r="AB192" s="96"/>
      <c r="AC192" s="96"/>
      <c r="AD192" s="96"/>
    </row>
    <row r="193" spans="1:30">
      <c r="A193" s="212"/>
      <c r="B193" s="532"/>
      <c r="C193" s="532"/>
      <c r="D193" s="212"/>
      <c r="E193" s="212"/>
      <c r="F193" s="212"/>
      <c r="G193" s="212"/>
      <c r="H193" s="212"/>
      <c r="I193" s="212"/>
      <c r="J193" s="529"/>
      <c r="K193" s="529"/>
      <c r="L193" s="473"/>
      <c r="M193" s="473"/>
      <c r="N193" s="473"/>
      <c r="O193" s="473"/>
      <c r="P193" s="473"/>
      <c r="Q193" s="473"/>
      <c r="R193" s="473"/>
      <c r="S193" s="96"/>
      <c r="T193" s="96"/>
      <c r="U193" s="96"/>
      <c r="V193" s="96"/>
      <c r="W193" s="96"/>
      <c r="X193" s="96"/>
      <c r="Y193" s="96"/>
      <c r="Z193" s="96"/>
      <c r="AA193" s="96"/>
      <c r="AB193" s="96"/>
      <c r="AC193" s="96"/>
      <c r="AD193" s="96"/>
    </row>
    <row r="194" spans="1:30">
      <c r="A194" s="490"/>
      <c r="B194" s="490"/>
      <c r="C194" s="490"/>
      <c r="D194" s="490"/>
      <c r="E194" s="490"/>
      <c r="F194" s="212"/>
      <c r="G194" s="212"/>
      <c r="H194" s="212"/>
      <c r="I194" s="212"/>
      <c r="J194" s="529"/>
      <c r="K194" s="529"/>
      <c r="L194" s="473"/>
      <c r="M194" s="473"/>
      <c r="N194" s="473"/>
      <c r="O194" s="473"/>
      <c r="P194" s="473"/>
      <c r="Q194" s="473"/>
      <c r="R194" s="473"/>
      <c r="S194" s="96"/>
      <c r="T194" s="96"/>
      <c r="U194" s="96"/>
      <c r="V194" s="96"/>
      <c r="W194" s="96"/>
      <c r="X194" s="96"/>
      <c r="Y194" s="96"/>
      <c r="Z194" s="96"/>
      <c r="AA194" s="96"/>
      <c r="AB194" s="96"/>
      <c r="AC194" s="96"/>
      <c r="AD194" s="96"/>
    </row>
    <row r="195" spans="1:30">
      <c r="A195" s="490"/>
      <c r="B195" s="490"/>
      <c r="C195" s="490"/>
      <c r="D195" s="490"/>
      <c r="E195" s="490"/>
      <c r="F195" s="212"/>
      <c r="G195" s="212"/>
      <c r="H195" s="212"/>
      <c r="I195" s="212"/>
      <c r="J195" s="529"/>
      <c r="K195" s="529"/>
      <c r="L195" s="473"/>
      <c r="M195" s="473"/>
      <c r="N195" s="473"/>
      <c r="O195" s="473"/>
      <c r="P195" s="473"/>
      <c r="Q195" s="473"/>
      <c r="R195" s="473"/>
      <c r="S195" s="96"/>
      <c r="T195" s="96"/>
      <c r="U195" s="96"/>
      <c r="V195" s="96"/>
      <c r="W195" s="96"/>
      <c r="X195" s="96"/>
      <c r="Y195" s="96"/>
      <c r="Z195" s="96"/>
      <c r="AA195" s="96"/>
      <c r="AB195" s="96"/>
      <c r="AC195" s="96"/>
      <c r="AD195" s="96"/>
    </row>
    <row r="196" spans="1:30">
      <c r="A196" s="490"/>
      <c r="B196" s="490"/>
      <c r="C196" s="490"/>
      <c r="D196" s="490"/>
      <c r="E196" s="490"/>
      <c r="F196" s="212"/>
      <c r="G196" s="212"/>
      <c r="H196" s="212"/>
      <c r="I196" s="212"/>
      <c r="J196" s="529"/>
      <c r="K196" s="529"/>
      <c r="L196" s="473"/>
      <c r="M196" s="473"/>
      <c r="N196" s="473"/>
      <c r="O196" s="473"/>
      <c r="P196" s="473"/>
      <c r="Q196" s="473"/>
      <c r="R196" s="473"/>
      <c r="S196" s="96"/>
      <c r="T196" s="96"/>
      <c r="U196" s="96"/>
      <c r="V196" s="96"/>
      <c r="W196" s="96"/>
      <c r="X196" s="96"/>
      <c r="Y196" s="96"/>
      <c r="Z196" s="96"/>
      <c r="AA196" s="96"/>
      <c r="AB196" s="96"/>
      <c r="AC196" s="96"/>
      <c r="AD196" s="96"/>
    </row>
    <row r="197" spans="1:30">
      <c r="A197" s="490"/>
      <c r="B197" s="490"/>
      <c r="C197" s="490"/>
      <c r="D197" s="490"/>
      <c r="E197" s="490"/>
      <c r="F197" s="212"/>
      <c r="G197" s="212"/>
      <c r="H197" s="212"/>
      <c r="I197" s="212"/>
      <c r="J197" s="529"/>
      <c r="K197" s="529"/>
      <c r="L197" s="473"/>
      <c r="M197" s="473"/>
      <c r="N197" s="473"/>
      <c r="O197" s="473"/>
      <c r="P197" s="473"/>
      <c r="Q197" s="473"/>
      <c r="R197" s="473"/>
      <c r="S197" s="96"/>
      <c r="T197" s="96"/>
      <c r="U197" s="96"/>
      <c r="V197" s="96"/>
      <c r="W197" s="96"/>
      <c r="X197" s="96"/>
      <c r="Y197" s="96"/>
      <c r="Z197" s="96"/>
      <c r="AA197" s="96"/>
      <c r="AB197" s="96"/>
      <c r="AC197" s="96"/>
      <c r="AD197" s="96"/>
    </row>
    <row r="198" spans="1:30">
      <c r="A198" s="490"/>
      <c r="B198" s="490"/>
      <c r="C198" s="490"/>
      <c r="D198" s="490"/>
      <c r="E198" s="490"/>
      <c r="F198" s="212"/>
      <c r="G198" s="212"/>
      <c r="H198" s="212"/>
      <c r="I198" s="212"/>
      <c r="J198" s="529"/>
      <c r="K198" s="529"/>
      <c r="L198" s="473"/>
      <c r="M198" s="473"/>
      <c r="N198" s="473"/>
      <c r="O198" s="473"/>
      <c r="P198" s="473"/>
      <c r="Q198" s="473"/>
      <c r="R198" s="473"/>
      <c r="S198" s="96"/>
      <c r="T198" s="96"/>
      <c r="U198" s="96"/>
      <c r="V198" s="96"/>
      <c r="W198" s="96"/>
      <c r="X198" s="96"/>
      <c r="Y198" s="96"/>
      <c r="Z198" s="96"/>
      <c r="AA198" s="96"/>
      <c r="AB198" s="96"/>
      <c r="AC198" s="96"/>
      <c r="AD198" s="96"/>
    </row>
    <row r="199" spans="1:30">
      <c r="A199" s="490"/>
      <c r="B199" s="490"/>
      <c r="C199" s="490"/>
      <c r="D199" s="490"/>
      <c r="E199" s="490"/>
      <c r="F199" s="212"/>
      <c r="G199" s="212"/>
      <c r="H199" s="212"/>
      <c r="I199" s="212"/>
      <c r="J199" s="529"/>
      <c r="K199" s="529"/>
      <c r="L199" s="473"/>
      <c r="M199" s="473"/>
      <c r="N199" s="473"/>
      <c r="O199" s="473"/>
      <c r="P199" s="473"/>
      <c r="Q199" s="473"/>
      <c r="R199" s="473"/>
      <c r="S199" s="96"/>
      <c r="T199" s="96"/>
      <c r="U199" s="96"/>
      <c r="V199" s="96"/>
      <c r="W199" s="96"/>
      <c r="X199" s="96"/>
      <c r="Y199" s="96"/>
      <c r="Z199" s="96"/>
      <c r="AA199" s="96"/>
      <c r="AB199" s="96"/>
      <c r="AC199" s="96"/>
      <c r="AD199" s="96"/>
    </row>
    <row r="200" spans="1:30">
      <c r="A200" s="490"/>
      <c r="B200" s="490"/>
      <c r="C200" s="490"/>
      <c r="D200" s="490"/>
      <c r="E200" s="490"/>
      <c r="F200" s="212"/>
      <c r="G200" s="212"/>
      <c r="H200" s="212"/>
      <c r="I200" s="212"/>
      <c r="J200" s="529"/>
      <c r="K200" s="529"/>
      <c r="L200" s="473"/>
      <c r="M200" s="473"/>
      <c r="N200" s="473"/>
      <c r="O200" s="473"/>
      <c r="P200" s="473"/>
      <c r="Q200" s="473"/>
      <c r="R200" s="473"/>
      <c r="S200" s="96"/>
      <c r="T200" s="96"/>
      <c r="U200" s="96"/>
      <c r="V200" s="96"/>
      <c r="W200" s="96"/>
      <c r="X200" s="96"/>
      <c r="Y200" s="96"/>
      <c r="Z200" s="96"/>
      <c r="AA200" s="96"/>
      <c r="AB200" s="96"/>
      <c r="AC200" s="96"/>
      <c r="AD200" s="96"/>
    </row>
    <row r="201" spans="1:30">
      <c r="A201" s="490"/>
      <c r="B201" s="490"/>
      <c r="C201" s="490"/>
      <c r="D201" s="490"/>
      <c r="E201" s="490"/>
      <c r="F201" s="212"/>
      <c r="G201" s="212"/>
      <c r="H201" s="212"/>
      <c r="I201" s="212"/>
      <c r="J201" s="529"/>
      <c r="K201" s="529"/>
      <c r="L201" s="473"/>
      <c r="M201" s="473"/>
      <c r="N201" s="473"/>
      <c r="O201" s="473"/>
      <c r="P201" s="473"/>
      <c r="Q201" s="473"/>
      <c r="R201" s="473"/>
      <c r="S201" s="96"/>
      <c r="T201" s="96"/>
      <c r="U201" s="96"/>
      <c r="V201" s="96"/>
      <c r="W201" s="96"/>
      <c r="X201" s="96"/>
      <c r="Y201" s="96"/>
      <c r="Z201" s="96"/>
      <c r="AA201" s="96"/>
      <c r="AB201" s="96"/>
      <c r="AC201" s="96"/>
      <c r="AD201" s="96"/>
    </row>
    <row r="202" spans="1:30">
      <c r="A202" s="490"/>
      <c r="B202" s="490"/>
      <c r="C202" s="490"/>
      <c r="D202" s="490"/>
      <c r="E202" s="490"/>
      <c r="F202" s="212"/>
      <c r="G202" s="212"/>
      <c r="H202" s="212"/>
      <c r="I202" s="212"/>
      <c r="J202" s="529"/>
      <c r="K202" s="529"/>
      <c r="L202" s="473"/>
      <c r="M202" s="473"/>
      <c r="N202" s="473"/>
      <c r="O202" s="473"/>
      <c r="P202" s="473"/>
      <c r="Q202" s="473"/>
      <c r="R202" s="473"/>
      <c r="S202" s="96"/>
      <c r="T202" s="96"/>
      <c r="U202" s="96"/>
      <c r="V202" s="96"/>
      <c r="W202" s="96"/>
      <c r="X202" s="96"/>
      <c r="Y202" s="96"/>
      <c r="Z202" s="96"/>
      <c r="AA202" s="96"/>
      <c r="AB202" s="96"/>
      <c r="AC202" s="96"/>
      <c r="AD202" s="96"/>
    </row>
    <row r="203" spans="1:30">
      <c r="A203" s="490"/>
      <c r="B203" s="490"/>
      <c r="C203" s="490"/>
      <c r="D203" s="490"/>
      <c r="E203" s="490"/>
      <c r="F203" s="212"/>
      <c r="G203" s="212"/>
      <c r="H203" s="212"/>
      <c r="I203" s="212"/>
      <c r="J203" s="529"/>
      <c r="K203" s="529"/>
      <c r="L203" s="473"/>
      <c r="M203" s="473"/>
      <c r="N203" s="473"/>
      <c r="O203" s="473"/>
      <c r="P203" s="473"/>
      <c r="Q203" s="473"/>
      <c r="R203" s="473"/>
      <c r="S203" s="96"/>
      <c r="T203" s="96"/>
      <c r="U203" s="96"/>
      <c r="V203" s="96"/>
      <c r="W203" s="96"/>
      <c r="X203" s="96"/>
      <c r="Y203" s="96"/>
      <c r="Z203" s="96"/>
      <c r="AA203" s="96"/>
      <c r="AB203" s="96"/>
      <c r="AC203" s="96"/>
      <c r="AD203" s="96"/>
    </row>
    <row r="204" spans="1:30">
      <c r="A204" s="490"/>
      <c r="B204" s="490"/>
      <c r="C204" s="490"/>
      <c r="D204" s="490"/>
      <c r="E204" s="490"/>
      <c r="F204" s="212"/>
      <c r="G204" s="212"/>
      <c r="H204" s="212"/>
      <c r="I204" s="212"/>
      <c r="J204" s="529"/>
      <c r="K204" s="529"/>
      <c r="L204" s="473"/>
      <c r="M204" s="473"/>
      <c r="N204" s="473"/>
      <c r="O204" s="473"/>
      <c r="P204" s="473"/>
      <c r="Q204" s="473"/>
      <c r="R204" s="473"/>
      <c r="S204" s="96"/>
      <c r="T204" s="96"/>
      <c r="U204" s="96"/>
      <c r="V204" s="96"/>
      <c r="W204" s="96"/>
      <c r="X204" s="96"/>
      <c r="Y204" s="96"/>
      <c r="Z204" s="96"/>
      <c r="AA204" s="96"/>
      <c r="AB204" s="96"/>
      <c r="AC204" s="96"/>
      <c r="AD204" s="96"/>
    </row>
    <row r="205" spans="1:30">
      <c r="A205" s="490"/>
      <c r="B205" s="490"/>
      <c r="C205" s="490"/>
      <c r="D205" s="490"/>
      <c r="E205" s="490"/>
      <c r="F205" s="212"/>
      <c r="G205" s="212"/>
      <c r="H205" s="212"/>
      <c r="I205" s="212"/>
      <c r="J205" s="529"/>
      <c r="K205" s="529"/>
      <c r="L205" s="473"/>
      <c r="M205" s="473"/>
      <c r="N205" s="473"/>
      <c r="O205" s="473"/>
      <c r="P205" s="473"/>
      <c r="Q205" s="473"/>
      <c r="R205" s="473"/>
      <c r="S205" s="96"/>
      <c r="T205" s="96"/>
      <c r="U205" s="96"/>
      <c r="V205" s="96"/>
      <c r="W205" s="96"/>
      <c r="X205" s="96"/>
      <c r="Y205" s="96"/>
      <c r="Z205" s="96"/>
      <c r="AA205" s="96"/>
      <c r="AB205" s="96"/>
      <c r="AC205" s="96"/>
      <c r="AD205" s="96"/>
    </row>
    <row r="206" spans="1:30">
      <c r="A206" s="212"/>
      <c r="B206" s="212"/>
      <c r="C206" s="212"/>
      <c r="D206" s="212"/>
      <c r="E206" s="212"/>
      <c r="F206" s="212"/>
      <c r="G206" s="212"/>
      <c r="H206" s="212"/>
      <c r="I206" s="212"/>
      <c r="J206" s="529"/>
      <c r="K206" s="529"/>
      <c r="L206" s="473"/>
      <c r="M206" s="473"/>
      <c r="N206" s="473"/>
      <c r="O206" s="473"/>
      <c r="P206" s="473"/>
      <c r="Q206" s="473"/>
      <c r="R206" s="473"/>
      <c r="S206" s="96"/>
      <c r="T206" s="96"/>
      <c r="U206" s="96"/>
      <c r="V206" s="96"/>
      <c r="W206" s="96"/>
      <c r="X206" s="96"/>
      <c r="Y206" s="96"/>
      <c r="Z206" s="96"/>
      <c r="AA206" s="96"/>
      <c r="AB206" s="96"/>
      <c r="AC206" s="96"/>
      <c r="AD206" s="96"/>
    </row>
    <row r="207" spans="1:30">
      <c r="A207" s="212"/>
      <c r="B207" s="212"/>
      <c r="C207" s="212"/>
      <c r="D207" s="212"/>
      <c r="E207" s="212"/>
      <c r="F207" s="212"/>
      <c r="G207" s="212"/>
      <c r="H207" s="212"/>
      <c r="I207" s="212"/>
      <c r="J207" s="529"/>
      <c r="K207" s="529"/>
      <c r="L207" s="473"/>
      <c r="M207" s="473"/>
      <c r="N207" s="473"/>
      <c r="O207" s="473"/>
      <c r="P207" s="473"/>
      <c r="Q207" s="473"/>
      <c r="R207" s="473"/>
      <c r="S207" s="96"/>
      <c r="T207" s="96"/>
      <c r="U207" s="96"/>
      <c r="V207" s="96"/>
      <c r="W207" s="96"/>
      <c r="X207" s="96"/>
      <c r="Y207" s="96"/>
      <c r="Z207" s="96"/>
      <c r="AA207" s="96"/>
      <c r="AB207" s="96"/>
      <c r="AC207" s="96"/>
      <c r="AD207" s="96"/>
    </row>
    <row r="208" spans="1:30">
      <c r="A208" s="212"/>
      <c r="B208" s="212"/>
      <c r="C208" s="212"/>
      <c r="D208" s="212"/>
      <c r="E208" s="212"/>
      <c r="F208" s="212"/>
      <c r="G208" s="212"/>
      <c r="H208" s="212"/>
      <c r="I208" s="212"/>
      <c r="J208" s="529"/>
      <c r="K208" s="529"/>
      <c r="L208" s="473"/>
      <c r="M208" s="473"/>
      <c r="N208" s="473"/>
      <c r="O208" s="473"/>
      <c r="P208" s="473"/>
      <c r="Q208" s="473"/>
      <c r="R208" s="473"/>
      <c r="S208" s="96"/>
      <c r="T208" s="96"/>
      <c r="U208" s="96"/>
      <c r="V208" s="96"/>
      <c r="W208" s="96"/>
      <c r="X208" s="96"/>
      <c r="Y208" s="96"/>
      <c r="Z208" s="96"/>
      <c r="AA208" s="96"/>
      <c r="AB208" s="96"/>
      <c r="AC208" s="96"/>
      <c r="AD208" s="96"/>
    </row>
    <row r="209" spans="1:30">
      <c r="A209" s="212"/>
      <c r="B209" s="212"/>
      <c r="C209" s="212"/>
      <c r="D209" s="212"/>
      <c r="E209" s="212"/>
      <c r="F209" s="212"/>
      <c r="G209" s="212"/>
      <c r="H209" s="212"/>
      <c r="I209" s="212"/>
      <c r="J209" s="529"/>
      <c r="K209" s="529"/>
      <c r="L209" s="473"/>
      <c r="M209" s="473"/>
      <c r="N209" s="473"/>
      <c r="O209" s="473"/>
      <c r="P209" s="473"/>
      <c r="Q209" s="473"/>
      <c r="R209" s="473"/>
      <c r="S209" s="96"/>
      <c r="T209" s="96"/>
      <c r="U209" s="96"/>
      <c r="V209" s="96"/>
      <c r="W209" s="96"/>
      <c r="X209" s="96"/>
      <c r="Y209" s="96"/>
      <c r="Z209" s="96"/>
      <c r="AA209" s="96"/>
      <c r="AB209" s="96"/>
      <c r="AC209" s="96"/>
      <c r="AD209" s="96"/>
    </row>
    <row r="210" spans="1:30">
      <c r="A210" s="212"/>
      <c r="B210" s="212"/>
      <c r="C210" s="212"/>
      <c r="D210" s="212"/>
      <c r="E210" s="212"/>
      <c r="F210" s="212"/>
      <c r="G210" s="212"/>
      <c r="H210" s="212"/>
      <c r="I210" s="212"/>
      <c r="J210" s="529"/>
      <c r="K210" s="529"/>
      <c r="L210" s="473"/>
      <c r="M210" s="473"/>
      <c r="N210" s="473"/>
      <c r="O210" s="473"/>
      <c r="P210" s="473"/>
      <c r="Q210" s="473"/>
      <c r="R210" s="473"/>
      <c r="S210" s="96"/>
      <c r="T210" s="96"/>
      <c r="U210" s="96"/>
      <c r="V210" s="96"/>
      <c r="W210" s="96"/>
      <c r="X210" s="96"/>
      <c r="Y210" s="96"/>
      <c r="Z210" s="96"/>
      <c r="AA210" s="96"/>
      <c r="AB210" s="96"/>
      <c r="AC210" s="96"/>
      <c r="AD210" s="96"/>
    </row>
    <row r="211" spans="1:30">
      <c r="A211" s="212"/>
      <c r="B211" s="212"/>
      <c r="C211" s="212"/>
      <c r="D211" s="212"/>
      <c r="E211" s="212"/>
      <c r="F211" s="212"/>
      <c r="G211" s="212"/>
      <c r="H211" s="212"/>
      <c r="I211" s="212"/>
      <c r="J211" s="529"/>
      <c r="K211" s="529"/>
      <c r="L211" s="473"/>
      <c r="M211" s="473"/>
      <c r="N211" s="473"/>
      <c r="O211" s="473"/>
      <c r="P211" s="473"/>
      <c r="Q211" s="473"/>
      <c r="R211" s="473"/>
      <c r="S211" s="96"/>
      <c r="T211" s="96"/>
      <c r="U211" s="96"/>
      <c r="V211" s="96"/>
      <c r="W211" s="96"/>
      <c r="X211" s="96"/>
      <c r="Y211" s="96"/>
      <c r="Z211" s="96"/>
      <c r="AA211" s="96"/>
      <c r="AB211" s="96"/>
      <c r="AC211" s="96"/>
      <c r="AD211" s="96"/>
    </row>
    <row r="212" spans="1:30">
      <c r="A212" s="212"/>
      <c r="B212" s="212"/>
      <c r="C212" s="212"/>
      <c r="D212" s="212"/>
      <c r="E212" s="212"/>
      <c r="F212" s="212"/>
      <c r="G212" s="212"/>
      <c r="H212" s="212"/>
      <c r="I212" s="212"/>
      <c r="J212" s="529"/>
      <c r="K212" s="529"/>
      <c r="L212" s="473"/>
      <c r="M212" s="473"/>
      <c r="N212" s="473"/>
      <c r="O212" s="473"/>
      <c r="P212" s="473"/>
      <c r="Q212" s="473"/>
      <c r="R212" s="473"/>
      <c r="S212" s="96"/>
      <c r="T212" s="96"/>
      <c r="U212" s="96"/>
      <c r="V212" s="96"/>
      <c r="W212" s="96"/>
      <c r="X212" s="96"/>
      <c r="Y212" s="96"/>
      <c r="Z212" s="96"/>
      <c r="AA212" s="96"/>
      <c r="AB212" s="96"/>
      <c r="AC212" s="96"/>
      <c r="AD212" s="96"/>
    </row>
    <row r="213" spans="1:30">
      <c r="A213" s="212"/>
      <c r="B213" s="212"/>
      <c r="C213" s="212"/>
      <c r="D213" s="212"/>
      <c r="E213" s="212"/>
      <c r="F213" s="212"/>
      <c r="G213" s="212"/>
      <c r="H213" s="212"/>
      <c r="I213" s="212"/>
      <c r="J213" s="529"/>
      <c r="K213" s="529"/>
      <c r="L213" s="473"/>
      <c r="M213" s="473"/>
      <c r="N213" s="473"/>
      <c r="O213" s="473"/>
      <c r="P213" s="473"/>
      <c r="Q213" s="473"/>
      <c r="R213" s="473"/>
      <c r="S213" s="96"/>
      <c r="T213" s="96"/>
      <c r="U213" s="96"/>
      <c r="V213" s="96"/>
      <c r="W213" s="96"/>
      <c r="X213" s="96"/>
      <c r="Y213" s="96"/>
      <c r="Z213" s="96"/>
      <c r="AA213" s="96"/>
      <c r="AB213" s="96"/>
      <c r="AC213" s="96"/>
      <c r="AD213" s="96"/>
    </row>
    <row r="214" spans="1:30">
      <c r="A214" s="212"/>
      <c r="B214" s="212"/>
      <c r="C214" s="212"/>
      <c r="D214" s="212"/>
      <c r="E214" s="212"/>
      <c r="F214" s="212"/>
      <c r="G214" s="212"/>
      <c r="H214" s="212"/>
      <c r="I214" s="212"/>
      <c r="J214" s="529"/>
      <c r="K214" s="529"/>
      <c r="L214" s="473"/>
      <c r="M214" s="473"/>
      <c r="N214" s="473"/>
      <c r="O214" s="473"/>
      <c r="P214" s="473"/>
      <c r="Q214" s="473"/>
      <c r="R214" s="473"/>
      <c r="S214" s="96"/>
      <c r="T214" s="96"/>
      <c r="U214" s="96"/>
      <c r="V214" s="96"/>
      <c r="W214" s="96"/>
      <c r="X214" s="96"/>
      <c r="Y214" s="96"/>
      <c r="Z214" s="96"/>
      <c r="AA214" s="96"/>
      <c r="AB214" s="96"/>
      <c r="AC214" s="96"/>
      <c r="AD214" s="96"/>
    </row>
    <row r="215" spans="1:30">
      <c r="A215" s="212"/>
      <c r="B215" s="212"/>
      <c r="C215" s="212"/>
      <c r="D215" s="212"/>
      <c r="E215" s="212"/>
      <c r="F215" s="212"/>
      <c r="G215" s="212"/>
      <c r="H215" s="212"/>
      <c r="I215" s="212"/>
      <c r="J215" s="529"/>
      <c r="K215" s="529"/>
      <c r="L215" s="473"/>
      <c r="M215" s="473"/>
      <c r="N215" s="473"/>
      <c r="O215" s="473"/>
      <c r="P215" s="473"/>
      <c r="Q215" s="473"/>
      <c r="R215" s="473"/>
      <c r="S215" s="96"/>
      <c r="T215" s="96"/>
      <c r="U215" s="96"/>
      <c r="V215" s="96"/>
      <c r="W215" s="96"/>
      <c r="X215" s="96"/>
      <c r="Y215" s="96"/>
      <c r="Z215" s="96"/>
      <c r="AA215" s="96"/>
      <c r="AB215" s="96"/>
      <c r="AC215" s="96"/>
      <c r="AD215" s="96"/>
    </row>
    <row r="216" spans="1:30">
      <c r="A216" s="212"/>
      <c r="B216" s="212"/>
      <c r="C216" s="212"/>
      <c r="D216" s="212"/>
      <c r="E216" s="212"/>
      <c r="F216" s="212"/>
      <c r="G216" s="212"/>
      <c r="H216" s="212"/>
      <c r="I216" s="212"/>
      <c r="J216" s="529"/>
      <c r="K216" s="529"/>
      <c r="L216" s="473"/>
      <c r="M216" s="473"/>
      <c r="N216" s="473"/>
      <c r="O216" s="473"/>
      <c r="P216" s="473"/>
      <c r="Q216" s="473"/>
      <c r="R216" s="473"/>
      <c r="S216" s="96"/>
      <c r="T216" s="96"/>
      <c r="U216" s="96"/>
      <c r="V216" s="96"/>
      <c r="W216" s="96"/>
      <c r="X216" s="96"/>
      <c r="Y216" s="96"/>
      <c r="Z216" s="96"/>
      <c r="AA216" s="96"/>
      <c r="AB216" s="96"/>
      <c r="AC216" s="96"/>
      <c r="AD216" s="96"/>
    </row>
    <row r="217" spans="1:30">
      <c r="A217" s="212"/>
      <c r="B217" s="212"/>
      <c r="C217" s="212"/>
      <c r="D217" s="212"/>
      <c r="E217" s="212"/>
      <c r="F217" s="212"/>
      <c r="G217" s="212"/>
      <c r="H217" s="212"/>
      <c r="I217" s="212"/>
      <c r="J217" s="529"/>
      <c r="K217" s="529"/>
      <c r="L217" s="473"/>
      <c r="M217" s="473"/>
      <c r="N217" s="473"/>
      <c r="O217" s="473"/>
      <c r="P217" s="473"/>
      <c r="Q217" s="473"/>
      <c r="R217" s="473"/>
      <c r="S217" s="96"/>
      <c r="T217" s="96"/>
      <c r="U217" s="96"/>
      <c r="V217" s="96"/>
      <c r="W217" s="96"/>
      <c r="X217" s="96"/>
      <c r="Y217" s="96"/>
      <c r="Z217" s="96"/>
      <c r="AA217" s="96"/>
      <c r="AB217" s="96"/>
      <c r="AC217" s="96"/>
      <c r="AD217" s="96"/>
    </row>
    <row r="218" spans="1:30">
      <c r="A218" s="212"/>
      <c r="B218" s="212"/>
      <c r="C218" s="212"/>
      <c r="D218" s="212"/>
      <c r="E218" s="212"/>
      <c r="F218" s="212"/>
      <c r="G218" s="212"/>
      <c r="H218" s="212"/>
      <c r="I218" s="212"/>
      <c r="J218" s="529"/>
      <c r="K218" s="529"/>
      <c r="L218" s="473"/>
      <c r="M218" s="473"/>
      <c r="N218" s="473"/>
      <c r="O218" s="473"/>
      <c r="P218" s="473"/>
      <c r="Q218" s="473"/>
      <c r="R218" s="473"/>
      <c r="S218" s="96"/>
      <c r="T218" s="96"/>
      <c r="U218" s="96"/>
      <c r="V218" s="96"/>
      <c r="W218" s="96"/>
      <c r="X218" s="96"/>
      <c r="Y218" s="96"/>
      <c r="Z218" s="96"/>
      <c r="AA218" s="96"/>
      <c r="AB218" s="96"/>
      <c r="AC218" s="96"/>
      <c r="AD218" s="96"/>
    </row>
    <row r="219" spans="1:30">
      <c r="A219" s="212"/>
      <c r="B219" s="212"/>
      <c r="C219" s="212"/>
      <c r="D219" s="212"/>
      <c r="E219" s="212"/>
      <c r="F219" s="212"/>
      <c r="G219" s="212"/>
      <c r="H219" s="212"/>
      <c r="I219" s="212"/>
      <c r="J219" s="529"/>
      <c r="K219" s="529"/>
      <c r="L219" s="473"/>
      <c r="M219" s="473"/>
      <c r="N219" s="473"/>
      <c r="O219" s="473"/>
      <c r="P219" s="473"/>
      <c r="Q219" s="473"/>
      <c r="R219" s="473"/>
      <c r="S219" s="96"/>
      <c r="T219" s="96"/>
      <c r="U219" s="96"/>
      <c r="V219" s="96"/>
      <c r="W219" s="96"/>
      <c r="X219" s="96"/>
      <c r="Y219" s="96"/>
      <c r="Z219" s="96"/>
      <c r="AA219" s="96"/>
      <c r="AB219" s="96"/>
      <c r="AC219" s="96"/>
      <c r="AD219" s="96"/>
    </row>
    <row r="220" spans="1:30">
      <c r="A220" s="212"/>
      <c r="B220" s="212"/>
      <c r="C220" s="212"/>
      <c r="D220" s="212"/>
      <c r="E220" s="212"/>
      <c r="F220" s="212"/>
      <c r="G220" s="212"/>
      <c r="H220" s="212"/>
      <c r="I220" s="212"/>
      <c r="J220" s="529"/>
      <c r="K220" s="529"/>
      <c r="L220" s="473"/>
      <c r="M220" s="473"/>
      <c r="N220" s="473"/>
      <c r="O220" s="473"/>
      <c r="P220" s="473"/>
      <c r="Q220" s="473"/>
      <c r="R220" s="473"/>
      <c r="S220" s="96"/>
      <c r="T220" s="96"/>
      <c r="U220" s="96"/>
      <c r="V220" s="96"/>
      <c r="W220" s="96"/>
      <c r="X220" s="96"/>
      <c r="Y220" s="96"/>
      <c r="Z220" s="96"/>
      <c r="AA220" s="96"/>
      <c r="AB220" s="96"/>
      <c r="AC220" s="96"/>
      <c r="AD220" s="96"/>
    </row>
    <row r="221" spans="1:30">
      <c r="A221" s="212"/>
      <c r="B221" s="212"/>
      <c r="C221" s="212"/>
      <c r="D221" s="212"/>
      <c r="E221" s="212"/>
      <c r="F221" s="212"/>
      <c r="G221" s="212"/>
      <c r="H221" s="212"/>
      <c r="I221" s="212"/>
      <c r="J221" s="529"/>
      <c r="K221" s="529"/>
      <c r="L221" s="473"/>
      <c r="M221" s="473"/>
      <c r="N221" s="473"/>
      <c r="O221" s="473"/>
      <c r="P221" s="473"/>
      <c r="Q221" s="473"/>
      <c r="R221" s="473"/>
      <c r="S221" s="96"/>
      <c r="T221" s="96"/>
      <c r="U221" s="96"/>
      <c r="V221" s="96"/>
      <c r="W221" s="96"/>
      <c r="X221" s="96"/>
      <c r="Y221" s="96"/>
      <c r="Z221" s="96"/>
      <c r="AA221" s="96"/>
      <c r="AB221" s="96"/>
      <c r="AC221" s="96"/>
      <c r="AD221" s="96"/>
    </row>
    <row r="222" spans="1:30">
      <c r="A222" s="212"/>
      <c r="B222" s="212"/>
      <c r="C222" s="212"/>
      <c r="D222" s="212"/>
      <c r="E222" s="212"/>
      <c r="F222" s="212"/>
      <c r="G222" s="212"/>
      <c r="H222" s="212"/>
      <c r="I222" s="212"/>
      <c r="J222" s="529"/>
      <c r="K222" s="529"/>
      <c r="L222" s="473"/>
      <c r="M222" s="473"/>
      <c r="N222" s="473"/>
      <c r="O222" s="473"/>
      <c r="P222" s="473"/>
      <c r="Q222" s="473"/>
      <c r="R222" s="473"/>
      <c r="S222" s="96"/>
      <c r="T222" s="96"/>
      <c r="U222" s="96"/>
      <c r="V222" s="96"/>
      <c r="W222" s="96"/>
      <c r="X222" s="96"/>
      <c r="Y222" s="96"/>
      <c r="Z222" s="96"/>
      <c r="AA222" s="96"/>
      <c r="AB222" s="96"/>
      <c r="AC222" s="96"/>
      <c r="AD222" s="96"/>
    </row>
    <row r="223" spans="1:30">
      <c r="A223" s="212"/>
      <c r="B223" s="212"/>
      <c r="C223" s="212"/>
      <c r="D223" s="212"/>
      <c r="E223" s="212"/>
      <c r="F223" s="212"/>
      <c r="G223" s="212"/>
      <c r="H223" s="212"/>
      <c r="I223" s="212"/>
      <c r="J223" s="529"/>
      <c r="K223" s="529"/>
      <c r="L223" s="473"/>
      <c r="M223" s="473"/>
      <c r="N223" s="473"/>
      <c r="O223" s="473"/>
      <c r="P223" s="473"/>
      <c r="Q223" s="473"/>
      <c r="R223" s="473"/>
      <c r="S223" s="96"/>
      <c r="T223" s="96"/>
      <c r="U223" s="96"/>
      <c r="V223" s="96"/>
      <c r="W223" s="96"/>
      <c r="X223" s="96"/>
      <c r="Y223" s="96"/>
      <c r="Z223" s="96"/>
      <c r="AA223" s="96"/>
      <c r="AB223" s="96"/>
      <c r="AC223" s="96"/>
      <c r="AD223" s="96"/>
    </row>
    <row r="224" spans="1:30">
      <c r="A224" s="212"/>
      <c r="B224" s="212"/>
      <c r="C224" s="212"/>
      <c r="D224" s="212"/>
      <c r="E224" s="212"/>
      <c r="F224" s="212"/>
      <c r="G224" s="212"/>
      <c r="H224" s="212"/>
      <c r="I224" s="212"/>
      <c r="J224" s="529"/>
      <c r="K224" s="529"/>
      <c r="L224" s="473"/>
      <c r="M224" s="473"/>
      <c r="N224" s="473"/>
      <c r="O224" s="473"/>
      <c r="P224" s="473"/>
      <c r="Q224" s="473"/>
      <c r="R224" s="473"/>
      <c r="S224" s="96"/>
      <c r="T224" s="96"/>
      <c r="U224" s="96"/>
      <c r="V224" s="96"/>
      <c r="W224" s="96"/>
      <c r="X224" s="96"/>
      <c r="Y224" s="96"/>
      <c r="Z224" s="96"/>
      <c r="AA224" s="96"/>
      <c r="AB224" s="96"/>
      <c r="AC224" s="96"/>
      <c r="AD224" s="96"/>
    </row>
    <row r="225" spans="1:30">
      <c r="A225" s="212"/>
      <c r="B225" s="212"/>
      <c r="C225" s="212"/>
      <c r="D225" s="212"/>
      <c r="E225" s="212"/>
      <c r="F225" s="212"/>
      <c r="G225" s="212"/>
      <c r="H225" s="212"/>
      <c r="I225" s="212"/>
      <c r="J225" s="529"/>
      <c r="K225" s="529"/>
      <c r="L225" s="473"/>
      <c r="M225" s="473"/>
      <c r="N225" s="473"/>
      <c r="O225" s="473"/>
      <c r="P225" s="473"/>
      <c r="Q225" s="473"/>
      <c r="R225" s="473"/>
      <c r="S225" s="96"/>
      <c r="T225" s="96"/>
      <c r="U225" s="96"/>
      <c r="V225" s="96"/>
      <c r="W225" s="96"/>
      <c r="X225" s="96"/>
      <c r="Y225" s="96"/>
      <c r="Z225" s="96"/>
      <c r="AA225" s="96"/>
      <c r="AB225" s="96"/>
      <c r="AC225" s="96"/>
      <c r="AD225" s="96"/>
    </row>
    <row r="226" spans="1:30">
      <c r="A226" s="212"/>
      <c r="B226" s="212"/>
      <c r="C226" s="212"/>
      <c r="D226" s="212"/>
      <c r="E226" s="212"/>
      <c r="F226" s="212"/>
      <c r="G226" s="212"/>
      <c r="H226" s="212"/>
      <c r="I226" s="212"/>
      <c r="J226" s="529"/>
      <c r="K226" s="529"/>
      <c r="L226" s="473"/>
      <c r="M226" s="473"/>
      <c r="N226" s="473"/>
      <c r="O226" s="473"/>
      <c r="P226" s="473"/>
      <c r="Q226" s="473"/>
      <c r="R226" s="473"/>
      <c r="S226" s="96"/>
      <c r="T226" s="96"/>
      <c r="U226" s="96"/>
      <c r="V226" s="96"/>
      <c r="W226" s="96"/>
      <c r="X226" s="96"/>
      <c r="Y226" s="96"/>
      <c r="Z226" s="96"/>
      <c r="AA226" s="96"/>
      <c r="AB226" s="96"/>
      <c r="AC226" s="96"/>
      <c r="AD226" s="96"/>
    </row>
    <row r="227" spans="1:30">
      <c r="A227" s="212"/>
      <c r="B227" s="212"/>
      <c r="C227" s="212"/>
      <c r="D227" s="212"/>
      <c r="E227" s="212"/>
      <c r="F227" s="212"/>
      <c r="G227" s="212"/>
      <c r="H227" s="212"/>
      <c r="I227" s="212"/>
      <c r="J227" s="529"/>
      <c r="K227" s="529"/>
      <c r="L227" s="473"/>
      <c r="M227" s="473"/>
      <c r="N227" s="473"/>
      <c r="O227" s="473"/>
      <c r="P227" s="473"/>
      <c r="Q227" s="473"/>
      <c r="R227" s="473"/>
      <c r="S227" s="96"/>
      <c r="T227" s="96"/>
      <c r="U227" s="96"/>
      <c r="V227" s="96"/>
      <c r="W227" s="96"/>
      <c r="X227" s="96"/>
      <c r="Y227" s="96"/>
      <c r="Z227" s="96"/>
      <c r="AA227" s="96"/>
      <c r="AB227" s="96"/>
      <c r="AC227" s="96"/>
      <c r="AD227" s="96"/>
    </row>
    <row r="228" spans="1:30">
      <c r="A228" s="212"/>
      <c r="B228" s="212"/>
      <c r="C228" s="212"/>
      <c r="D228" s="212"/>
      <c r="E228" s="212"/>
      <c r="F228" s="212"/>
      <c r="G228" s="212"/>
      <c r="H228" s="212"/>
      <c r="I228" s="212"/>
      <c r="J228" s="529"/>
      <c r="K228" s="529"/>
      <c r="L228" s="473"/>
      <c r="M228" s="473"/>
      <c r="N228" s="473"/>
      <c r="O228" s="473"/>
      <c r="P228" s="473"/>
      <c r="Q228" s="473"/>
      <c r="R228" s="473"/>
      <c r="S228" s="96"/>
      <c r="T228" s="96"/>
      <c r="U228" s="96"/>
      <c r="V228" s="96"/>
      <c r="W228" s="96"/>
      <c r="X228" s="96"/>
      <c r="Y228" s="96"/>
      <c r="Z228" s="96"/>
      <c r="AA228" s="96"/>
      <c r="AB228" s="96"/>
      <c r="AC228" s="96"/>
      <c r="AD228" s="96"/>
    </row>
    <row r="229" spans="1:30">
      <c r="A229" s="212"/>
      <c r="B229" s="212"/>
      <c r="C229" s="212"/>
      <c r="D229" s="212"/>
      <c r="E229" s="212"/>
      <c r="F229" s="212"/>
      <c r="G229" s="212"/>
      <c r="H229" s="212"/>
      <c r="I229" s="212"/>
      <c r="J229" s="529"/>
      <c r="K229" s="529"/>
      <c r="L229" s="473"/>
      <c r="M229" s="473"/>
      <c r="N229" s="473"/>
      <c r="O229" s="473"/>
      <c r="P229" s="473"/>
      <c r="Q229" s="473"/>
      <c r="R229" s="473"/>
      <c r="S229" s="96"/>
      <c r="T229" s="96"/>
      <c r="U229" s="96"/>
      <c r="V229" s="96"/>
      <c r="W229" s="96"/>
      <c r="X229" s="96"/>
      <c r="Y229" s="96"/>
      <c r="Z229" s="96"/>
      <c r="AA229" s="96"/>
      <c r="AB229" s="96"/>
      <c r="AC229" s="96"/>
      <c r="AD229" s="96"/>
    </row>
    <row r="230" spans="1:30">
      <c r="A230" s="212"/>
      <c r="B230" s="212"/>
      <c r="C230" s="212"/>
      <c r="D230" s="212"/>
      <c r="E230" s="212"/>
      <c r="F230" s="212"/>
      <c r="G230" s="212"/>
      <c r="H230" s="212"/>
      <c r="I230" s="212"/>
      <c r="J230" s="529"/>
      <c r="K230" s="529"/>
      <c r="L230" s="473"/>
      <c r="M230" s="473"/>
      <c r="N230" s="473"/>
      <c r="O230" s="473"/>
      <c r="P230" s="473"/>
      <c r="Q230" s="473"/>
      <c r="R230" s="473"/>
      <c r="S230" s="96"/>
      <c r="T230" s="96"/>
      <c r="U230" s="96"/>
      <c r="V230" s="96"/>
      <c r="W230" s="96"/>
      <c r="X230" s="96"/>
      <c r="Y230" s="96"/>
      <c r="Z230" s="96"/>
      <c r="AA230" s="96"/>
      <c r="AB230" s="96"/>
      <c r="AC230" s="96"/>
      <c r="AD230" s="96"/>
    </row>
    <row r="231" spans="1:30">
      <c r="A231" s="212"/>
      <c r="B231" s="212"/>
      <c r="C231" s="212"/>
      <c r="D231" s="212"/>
      <c r="E231" s="212"/>
      <c r="F231" s="212"/>
      <c r="G231" s="212"/>
      <c r="H231" s="212"/>
      <c r="I231" s="212"/>
      <c r="J231" s="529"/>
      <c r="K231" s="529"/>
      <c r="L231" s="473"/>
      <c r="M231" s="473"/>
      <c r="N231" s="473"/>
      <c r="O231" s="473"/>
      <c r="P231" s="473"/>
      <c r="Q231" s="473"/>
      <c r="R231" s="473"/>
      <c r="S231" s="96"/>
      <c r="T231" s="96"/>
      <c r="U231" s="96"/>
      <c r="V231" s="96"/>
      <c r="W231" s="96"/>
      <c r="X231" s="96"/>
      <c r="Y231" s="96"/>
      <c r="Z231" s="96"/>
      <c r="AA231" s="96"/>
      <c r="AB231" s="96"/>
      <c r="AC231" s="96"/>
      <c r="AD231" s="96"/>
    </row>
    <row r="232" spans="1:30">
      <c r="A232" s="212"/>
      <c r="B232" s="212"/>
      <c r="C232" s="212"/>
      <c r="D232" s="212"/>
      <c r="E232" s="212"/>
      <c r="F232" s="212"/>
      <c r="G232" s="212"/>
      <c r="H232" s="212"/>
      <c r="I232" s="212"/>
      <c r="J232" s="529"/>
      <c r="K232" s="529"/>
      <c r="L232" s="473"/>
      <c r="M232" s="473"/>
      <c r="N232" s="473"/>
      <c r="O232" s="473"/>
      <c r="P232" s="473"/>
      <c r="Q232" s="473"/>
      <c r="R232" s="473"/>
      <c r="S232" s="96"/>
      <c r="T232" s="96"/>
      <c r="U232" s="96"/>
      <c r="V232" s="96"/>
      <c r="W232" s="96"/>
      <c r="X232" s="96"/>
      <c r="Y232" s="96"/>
      <c r="Z232" s="96"/>
      <c r="AA232" s="96"/>
      <c r="AB232" s="96"/>
      <c r="AC232" s="96"/>
      <c r="AD232" s="96"/>
    </row>
    <row r="233" spans="1:30">
      <c r="A233" s="212"/>
      <c r="B233" s="212"/>
      <c r="C233" s="212"/>
      <c r="D233" s="212"/>
      <c r="E233" s="212"/>
      <c r="F233" s="212"/>
      <c r="G233" s="212"/>
      <c r="H233" s="212"/>
      <c r="I233" s="212"/>
      <c r="J233" s="529"/>
      <c r="K233" s="529"/>
      <c r="L233" s="473"/>
      <c r="M233" s="473"/>
      <c r="N233" s="473"/>
      <c r="O233" s="473"/>
      <c r="P233" s="473"/>
      <c r="Q233" s="473"/>
      <c r="R233" s="473"/>
      <c r="S233" s="96"/>
      <c r="T233" s="96"/>
      <c r="U233" s="96"/>
      <c r="V233" s="96"/>
      <c r="W233" s="96"/>
      <c r="X233" s="96"/>
      <c r="Y233" s="96"/>
      <c r="Z233" s="96"/>
      <c r="AA233" s="96"/>
      <c r="AB233" s="96"/>
      <c r="AC233" s="96"/>
      <c r="AD233" s="96"/>
    </row>
    <row r="234" spans="1:30">
      <c r="A234" s="212"/>
      <c r="B234" s="212"/>
      <c r="C234" s="212"/>
      <c r="D234" s="212"/>
      <c r="E234" s="212"/>
      <c r="F234" s="212"/>
      <c r="G234" s="212"/>
      <c r="H234" s="212"/>
      <c r="I234" s="212"/>
      <c r="J234" s="529"/>
      <c r="K234" s="529"/>
      <c r="L234" s="473"/>
      <c r="M234" s="473"/>
      <c r="N234" s="473"/>
      <c r="O234" s="473"/>
      <c r="P234" s="473"/>
      <c r="Q234" s="473"/>
      <c r="R234" s="473"/>
      <c r="S234" s="96"/>
      <c r="T234" s="96"/>
      <c r="U234" s="96"/>
      <c r="V234" s="96"/>
      <c r="W234" s="96"/>
      <c r="X234" s="96"/>
      <c r="Y234" s="96"/>
      <c r="Z234" s="96"/>
      <c r="AA234" s="96"/>
      <c r="AB234" s="96"/>
      <c r="AC234" s="96"/>
      <c r="AD234" s="96"/>
    </row>
    <row r="235" spans="1:30">
      <c r="A235" s="212"/>
      <c r="B235" s="212"/>
      <c r="C235" s="212"/>
      <c r="D235" s="212"/>
      <c r="E235" s="212"/>
      <c r="F235" s="212"/>
      <c r="G235" s="212"/>
      <c r="H235" s="212"/>
      <c r="I235" s="212"/>
      <c r="J235" s="529"/>
      <c r="K235" s="529"/>
      <c r="L235" s="473"/>
      <c r="M235" s="473"/>
      <c r="N235" s="473"/>
      <c r="O235" s="473"/>
      <c r="P235" s="473"/>
      <c r="Q235" s="473"/>
      <c r="R235" s="473"/>
      <c r="S235" s="96"/>
      <c r="T235" s="96"/>
      <c r="U235" s="96"/>
      <c r="V235" s="96"/>
      <c r="W235" s="96"/>
      <c r="X235" s="96"/>
      <c r="Y235" s="96"/>
      <c r="Z235" s="96"/>
      <c r="AA235" s="96"/>
      <c r="AB235" s="96"/>
      <c r="AC235" s="96"/>
      <c r="AD235" s="96"/>
    </row>
    <row r="236" spans="1:30">
      <c r="A236" s="212"/>
      <c r="B236" s="212"/>
      <c r="C236" s="212"/>
      <c r="D236" s="212"/>
      <c r="E236" s="212"/>
      <c r="F236" s="212"/>
      <c r="G236" s="212"/>
      <c r="H236" s="212"/>
      <c r="I236" s="212"/>
      <c r="J236" s="529"/>
      <c r="K236" s="529"/>
      <c r="L236" s="473"/>
      <c r="M236" s="473"/>
      <c r="N236" s="473"/>
      <c r="O236" s="473"/>
      <c r="P236" s="473"/>
      <c r="Q236" s="473"/>
      <c r="R236" s="473"/>
      <c r="S236" s="96"/>
      <c r="T236" s="96"/>
      <c r="U236" s="96"/>
      <c r="V236" s="96"/>
      <c r="W236" s="96"/>
      <c r="X236" s="96"/>
      <c r="Y236" s="96"/>
      <c r="Z236" s="96"/>
      <c r="AA236" s="96"/>
      <c r="AB236" s="96"/>
      <c r="AC236" s="96"/>
      <c r="AD236" s="96"/>
    </row>
    <row r="237" spans="1:30">
      <c r="A237" s="212"/>
      <c r="B237" s="212"/>
      <c r="C237" s="212"/>
      <c r="D237" s="212"/>
      <c r="E237" s="212"/>
      <c r="F237" s="212"/>
      <c r="G237" s="212"/>
      <c r="H237" s="212"/>
      <c r="I237" s="212"/>
      <c r="J237" s="529"/>
      <c r="K237" s="529"/>
      <c r="L237" s="473"/>
      <c r="M237" s="473"/>
      <c r="N237" s="473"/>
      <c r="O237" s="473"/>
      <c r="P237" s="473"/>
      <c r="Q237" s="473"/>
      <c r="R237" s="473"/>
      <c r="S237" s="96"/>
      <c r="T237" s="96"/>
      <c r="U237" s="96"/>
      <c r="V237" s="96"/>
      <c r="W237" s="96"/>
      <c r="X237" s="96"/>
      <c r="Y237" s="96"/>
      <c r="Z237" s="96"/>
      <c r="AA237" s="96"/>
      <c r="AB237" s="96"/>
      <c r="AC237" s="96"/>
      <c r="AD237" s="96"/>
    </row>
    <row r="238" spans="1:30">
      <c r="A238" s="212"/>
      <c r="B238" s="212"/>
      <c r="C238" s="212"/>
      <c r="D238" s="212"/>
      <c r="E238" s="212"/>
      <c r="F238" s="212"/>
      <c r="G238" s="212"/>
      <c r="H238" s="212"/>
      <c r="I238" s="212"/>
      <c r="J238" s="529"/>
      <c r="K238" s="529"/>
      <c r="L238" s="473"/>
      <c r="M238" s="473"/>
      <c r="N238" s="473"/>
      <c r="O238" s="473"/>
      <c r="P238" s="473"/>
      <c r="Q238" s="473"/>
      <c r="R238" s="473"/>
      <c r="S238" s="96"/>
      <c r="T238" s="96"/>
      <c r="U238" s="96"/>
      <c r="V238" s="96"/>
      <c r="W238" s="96"/>
      <c r="X238" s="96"/>
      <c r="Y238" s="96"/>
      <c r="Z238" s="96"/>
      <c r="AA238" s="96"/>
      <c r="AB238" s="96"/>
      <c r="AC238" s="96"/>
      <c r="AD238" s="96"/>
    </row>
    <row r="239" spans="1:30">
      <c r="A239" s="212"/>
      <c r="B239" s="212"/>
      <c r="C239" s="212"/>
      <c r="D239" s="212"/>
      <c r="E239" s="212"/>
      <c r="F239" s="212"/>
      <c r="G239" s="212"/>
      <c r="H239" s="212"/>
      <c r="I239" s="212"/>
      <c r="J239" s="529"/>
      <c r="K239" s="529"/>
      <c r="L239" s="473"/>
      <c r="M239" s="473"/>
      <c r="N239" s="473"/>
      <c r="O239" s="473"/>
      <c r="P239" s="473"/>
      <c r="Q239" s="473"/>
      <c r="R239" s="473"/>
      <c r="S239" s="96"/>
      <c r="T239" s="96"/>
      <c r="U239" s="96"/>
      <c r="V239" s="96"/>
      <c r="W239" s="96"/>
      <c r="X239" s="96"/>
      <c r="Y239" s="96"/>
      <c r="Z239" s="96"/>
      <c r="AA239" s="96"/>
      <c r="AB239" s="96"/>
      <c r="AC239" s="96"/>
      <c r="AD239" s="96"/>
    </row>
    <row r="240" spans="1:30">
      <c r="A240" s="212"/>
      <c r="B240" s="212"/>
      <c r="C240" s="212"/>
      <c r="D240" s="212"/>
      <c r="E240" s="212"/>
      <c r="F240" s="212"/>
      <c r="G240" s="212"/>
      <c r="H240" s="212"/>
      <c r="I240" s="212"/>
      <c r="J240" s="529"/>
      <c r="K240" s="529"/>
      <c r="L240" s="473"/>
      <c r="M240" s="473"/>
      <c r="N240" s="473"/>
      <c r="O240" s="473"/>
      <c r="P240" s="473"/>
      <c r="Q240" s="473"/>
      <c r="R240" s="473"/>
      <c r="S240" s="96"/>
      <c r="T240" s="96"/>
      <c r="U240" s="96"/>
      <c r="V240" s="96"/>
      <c r="W240" s="96"/>
      <c r="X240" s="96"/>
      <c r="Y240" s="96"/>
      <c r="Z240" s="96"/>
      <c r="AA240" s="96"/>
      <c r="AB240" s="96"/>
      <c r="AC240" s="96"/>
      <c r="AD240" s="96"/>
    </row>
    <row r="241" spans="1:30">
      <c r="A241" s="212"/>
      <c r="B241" s="212"/>
      <c r="C241" s="212"/>
      <c r="D241" s="212"/>
      <c r="E241" s="212"/>
      <c r="F241" s="212"/>
      <c r="G241" s="212"/>
      <c r="H241" s="212"/>
      <c r="I241" s="212"/>
      <c r="J241" s="529"/>
      <c r="K241" s="529"/>
      <c r="L241" s="473"/>
      <c r="M241" s="473"/>
      <c r="N241" s="473"/>
      <c r="O241" s="473"/>
      <c r="P241" s="473"/>
      <c r="Q241" s="473"/>
      <c r="R241" s="473"/>
      <c r="S241" s="96"/>
      <c r="T241" s="96"/>
      <c r="U241" s="96"/>
      <c r="V241" s="96"/>
      <c r="W241" s="96"/>
      <c r="X241" s="96"/>
      <c r="Y241" s="96"/>
      <c r="Z241" s="96"/>
      <c r="AA241" s="96"/>
      <c r="AB241" s="96"/>
      <c r="AC241" s="96"/>
      <c r="AD241" s="96"/>
    </row>
    <row r="242" spans="1:30">
      <c r="A242" s="212"/>
      <c r="B242" s="212"/>
      <c r="C242" s="212"/>
      <c r="D242" s="212"/>
      <c r="E242" s="212"/>
      <c r="F242" s="212"/>
      <c r="G242" s="212"/>
      <c r="H242" s="212"/>
      <c r="I242" s="212"/>
      <c r="J242" s="529"/>
      <c r="K242" s="529"/>
      <c r="L242" s="473"/>
      <c r="M242" s="473"/>
      <c r="N242" s="473"/>
      <c r="O242" s="473"/>
      <c r="P242" s="473"/>
      <c r="Q242" s="473"/>
      <c r="R242" s="473"/>
      <c r="S242" s="96"/>
      <c r="T242" s="96"/>
      <c r="U242" s="96"/>
      <c r="V242" s="96"/>
      <c r="W242" s="96"/>
      <c r="X242" s="96"/>
      <c r="Y242" s="96"/>
      <c r="Z242" s="96"/>
      <c r="AA242" s="96"/>
      <c r="AB242" s="96"/>
      <c r="AC242" s="96"/>
      <c r="AD242" s="96"/>
    </row>
    <row r="243" spans="1:30">
      <c r="A243" s="212"/>
      <c r="B243" s="212"/>
      <c r="C243" s="212"/>
      <c r="D243" s="212"/>
      <c r="E243" s="212"/>
      <c r="F243" s="212"/>
      <c r="G243" s="212"/>
      <c r="H243" s="212"/>
      <c r="I243" s="212"/>
      <c r="J243" s="529"/>
      <c r="K243" s="529"/>
      <c r="L243" s="473"/>
      <c r="M243" s="473"/>
      <c r="N243" s="473"/>
      <c r="O243" s="473"/>
      <c r="P243" s="473"/>
      <c r="Q243" s="473"/>
      <c r="R243" s="473"/>
      <c r="S243" s="96"/>
      <c r="T243" s="96"/>
      <c r="U243" s="96"/>
      <c r="V243" s="96"/>
      <c r="W243" s="96"/>
      <c r="X243" s="96"/>
      <c r="Y243" s="96"/>
      <c r="Z243" s="96"/>
      <c r="AA243" s="96"/>
      <c r="AB243" s="96"/>
      <c r="AC243" s="96"/>
      <c r="AD243" s="96"/>
    </row>
    <row r="244" spans="1:30">
      <c r="A244" s="212"/>
      <c r="B244" s="212"/>
      <c r="C244" s="212"/>
      <c r="D244" s="212"/>
      <c r="E244" s="212"/>
      <c r="F244" s="212"/>
      <c r="G244" s="212"/>
      <c r="H244" s="212"/>
      <c r="I244" s="212"/>
      <c r="J244" s="529"/>
      <c r="K244" s="529"/>
      <c r="L244" s="473"/>
      <c r="M244" s="473"/>
      <c r="N244" s="473"/>
      <c r="O244" s="473"/>
      <c r="P244" s="473"/>
      <c r="Q244" s="473"/>
      <c r="R244" s="473"/>
      <c r="S244" s="96"/>
      <c r="T244" s="96"/>
      <c r="U244" s="96"/>
      <c r="V244" s="96"/>
      <c r="W244" s="96"/>
      <c r="X244" s="96"/>
      <c r="Y244" s="96"/>
      <c r="Z244" s="96"/>
      <c r="AA244" s="96"/>
      <c r="AB244" s="96"/>
      <c r="AC244" s="96"/>
      <c r="AD244" s="96"/>
    </row>
    <row r="245" spans="1:30">
      <c r="A245" s="212"/>
      <c r="B245" s="212"/>
      <c r="C245" s="212"/>
      <c r="D245" s="212"/>
      <c r="E245" s="212"/>
      <c r="F245" s="212"/>
      <c r="G245" s="212"/>
      <c r="H245" s="212"/>
      <c r="I245" s="212"/>
      <c r="J245" s="529"/>
      <c r="K245" s="529"/>
      <c r="L245" s="473"/>
      <c r="M245" s="473"/>
      <c r="N245" s="473"/>
      <c r="O245" s="473"/>
      <c r="P245" s="473"/>
      <c r="Q245" s="473"/>
      <c r="R245" s="473"/>
      <c r="S245" s="96"/>
      <c r="T245" s="96"/>
      <c r="U245" s="96"/>
      <c r="V245" s="96"/>
      <c r="W245" s="96"/>
      <c r="X245" s="96"/>
      <c r="Y245" s="96"/>
      <c r="Z245" s="96"/>
      <c r="AA245" s="96"/>
      <c r="AB245" s="96"/>
      <c r="AC245" s="96"/>
      <c r="AD245" s="96"/>
    </row>
    <row r="246" spans="1:30">
      <c r="A246" s="212"/>
      <c r="B246" s="212"/>
      <c r="C246" s="212"/>
      <c r="D246" s="212"/>
      <c r="E246" s="212"/>
      <c r="F246" s="212"/>
      <c r="G246" s="212"/>
      <c r="H246" s="212"/>
      <c r="I246" s="212"/>
      <c r="J246" s="529"/>
      <c r="K246" s="529"/>
      <c r="L246" s="473"/>
      <c r="M246" s="473"/>
      <c r="N246" s="473"/>
      <c r="O246" s="473"/>
      <c r="P246" s="473"/>
      <c r="Q246" s="473"/>
      <c r="R246" s="473"/>
      <c r="S246" s="96"/>
      <c r="T246" s="96"/>
      <c r="U246" s="96"/>
      <c r="V246" s="96"/>
      <c r="W246" s="96"/>
      <c r="X246" s="96"/>
      <c r="Y246" s="96"/>
      <c r="Z246" s="96"/>
      <c r="AA246" s="96"/>
      <c r="AB246" s="96"/>
      <c r="AC246" s="96"/>
      <c r="AD246" s="96"/>
    </row>
    <row r="247" spans="1:30">
      <c r="A247" s="212"/>
      <c r="B247" s="212"/>
      <c r="C247" s="212"/>
      <c r="D247" s="212"/>
      <c r="E247" s="212"/>
      <c r="F247" s="212"/>
      <c r="G247" s="212"/>
      <c r="H247" s="212"/>
      <c r="I247" s="212"/>
      <c r="J247" s="529"/>
      <c r="K247" s="529"/>
      <c r="L247" s="473"/>
      <c r="M247" s="473"/>
      <c r="N247" s="473"/>
      <c r="O247" s="473"/>
      <c r="P247" s="473"/>
      <c r="Q247" s="473"/>
      <c r="R247" s="473"/>
      <c r="S247" s="96"/>
      <c r="T247" s="96"/>
      <c r="U247" s="96"/>
      <c r="V247" s="96"/>
      <c r="W247" s="96"/>
      <c r="X247" s="96"/>
      <c r="Y247" s="96"/>
      <c r="Z247" s="96"/>
      <c r="AA247" s="96"/>
      <c r="AB247" s="96"/>
      <c r="AC247" s="96"/>
      <c r="AD247" s="96"/>
    </row>
    <row r="248" spans="1:30">
      <c r="A248" s="212"/>
      <c r="B248" s="212"/>
      <c r="C248" s="212"/>
      <c r="D248" s="212"/>
      <c r="E248" s="212"/>
      <c r="F248" s="212"/>
      <c r="G248" s="212"/>
      <c r="H248" s="212"/>
      <c r="I248" s="212"/>
      <c r="J248" s="529"/>
      <c r="K248" s="529"/>
      <c r="L248" s="473"/>
      <c r="M248" s="473"/>
      <c r="N248" s="473"/>
      <c r="O248" s="473"/>
      <c r="P248" s="473"/>
      <c r="Q248" s="473"/>
      <c r="R248" s="473"/>
      <c r="S248" s="96"/>
      <c r="T248" s="96"/>
      <c r="U248" s="96"/>
      <c r="V248" s="96"/>
      <c r="W248" s="96"/>
      <c r="X248" s="96"/>
      <c r="Y248" s="96"/>
      <c r="Z248" s="96"/>
      <c r="AA248" s="96"/>
      <c r="AB248" s="96"/>
      <c r="AC248" s="96"/>
      <c r="AD248" s="96"/>
    </row>
    <row r="249" spans="1:30">
      <c r="A249" s="212"/>
      <c r="B249" s="212"/>
      <c r="C249" s="212"/>
      <c r="D249" s="212"/>
      <c r="E249" s="212"/>
      <c r="F249" s="212"/>
      <c r="G249" s="212"/>
      <c r="H249" s="212"/>
      <c r="I249" s="212"/>
      <c r="J249" s="529"/>
      <c r="K249" s="529"/>
      <c r="L249" s="473"/>
      <c r="M249" s="473"/>
      <c r="N249" s="473"/>
      <c r="O249" s="473"/>
      <c r="P249" s="473"/>
      <c r="Q249" s="473"/>
      <c r="R249" s="473"/>
      <c r="S249" s="96"/>
      <c r="T249" s="96"/>
      <c r="U249" s="96"/>
      <c r="V249" s="96"/>
      <c r="W249" s="96"/>
      <c r="X249" s="96"/>
      <c r="Y249" s="96"/>
      <c r="Z249" s="96"/>
      <c r="AA249" s="96"/>
      <c r="AB249" s="96"/>
      <c r="AC249" s="96"/>
      <c r="AD249" s="96"/>
    </row>
    <row r="250" spans="1:30">
      <c r="A250" s="212"/>
      <c r="B250" s="212"/>
      <c r="C250" s="212"/>
      <c r="D250" s="212"/>
      <c r="E250" s="212"/>
      <c r="F250" s="212"/>
      <c r="G250" s="212"/>
      <c r="H250" s="212"/>
      <c r="I250" s="212"/>
      <c r="J250" s="529"/>
      <c r="K250" s="529"/>
      <c r="L250" s="473"/>
      <c r="M250" s="473"/>
      <c r="N250" s="473"/>
      <c r="O250" s="473"/>
      <c r="P250" s="473"/>
      <c r="Q250" s="473"/>
      <c r="R250" s="473"/>
      <c r="S250" s="96"/>
      <c r="T250" s="96"/>
      <c r="U250" s="96"/>
      <c r="V250" s="96"/>
      <c r="W250" s="96"/>
      <c r="X250" s="96"/>
      <c r="Y250" s="96"/>
      <c r="Z250" s="96"/>
      <c r="AA250" s="96"/>
      <c r="AB250" s="96"/>
      <c r="AC250" s="96"/>
      <c r="AD250" s="96"/>
    </row>
    <row r="251" spans="1:30">
      <c r="A251" s="212"/>
      <c r="B251" s="212"/>
      <c r="C251" s="212"/>
      <c r="D251" s="212"/>
      <c r="E251" s="212"/>
      <c r="F251" s="212"/>
      <c r="G251" s="212"/>
      <c r="H251" s="212"/>
      <c r="I251" s="212"/>
      <c r="J251" s="529"/>
      <c r="K251" s="529"/>
      <c r="L251" s="473"/>
      <c r="M251" s="473"/>
      <c r="N251" s="473"/>
      <c r="O251" s="473"/>
      <c r="P251" s="473"/>
      <c r="Q251" s="473"/>
      <c r="R251" s="473"/>
      <c r="S251" s="96"/>
      <c r="T251" s="96"/>
      <c r="U251" s="96"/>
      <c r="V251" s="96"/>
      <c r="W251" s="96"/>
      <c r="X251" s="96"/>
      <c r="Y251" s="96"/>
      <c r="Z251" s="96"/>
      <c r="AA251" s="96"/>
      <c r="AB251" s="96"/>
      <c r="AC251" s="96"/>
      <c r="AD251" s="96"/>
    </row>
    <row r="252" spans="1:30">
      <c r="A252" s="212"/>
      <c r="B252" s="212"/>
      <c r="C252" s="212"/>
      <c r="D252" s="212"/>
      <c r="E252" s="212"/>
      <c r="F252" s="212"/>
      <c r="G252" s="212"/>
      <c r="H252" s="212"/>
      <c r="I252" s="212"/>
      <c r="J252" s="529"/>
      <c r="K252" s="529"/>
      <c r="L252" s="473"/>
      <c r="M252" s="473"/>
      <c r="N252" s="473"/>
      <c r="O252" s="473"/>
      <c r="P252" s="473"/>
      <c r="Q252" s="473"/>
      <c r="R252" s="473"/>
      <c r="S252" s="96"/>
      <c r="T252" s="96"/>
      <c r="U252" s="96"/>
      <c r="V252" s="96"/>
      <c r="W252" s="96"/>
      <c r="X252" s="96"/>
      <c r="Y252" s="96"/>
      <c r="Z252" s="96"/>
      <c r="AA252" s="96"/>
      <c r="AB252" s="96"/>
      <c r="AC252" s="96"/>
      <c r="AD252" s="96"/>
    </row>
    <row r="253" spans="1:30">
      <c r="A253" s="212"/>
      <c r="B253" s="212"/>
      <c r="C253" s="212"/>
      <c r="D253" s="212"/>
      <c r="E253" s="212"/>
      <c r="F253" s="212"/>
      <c r="G253" s="212"/>
      <c r="H253" s="212"/>
      <c r="I253" s="212"/>
      <c r="J253" s="529"/>
      <c r="K253" s="529"/>
      <c r="L253" s="473"/>
      <c r="M253" s="473"/>
      <c r="N253" s="473"/>
      <c r="O253" s="473"/>
      <c r="P253" s="473"/>
      <c r="Q253" s="473"/>
      <c r="R253" s="473"/>
      <c r="S253" s="96"/>
      <c r="T253" s="96"/>
      <c r="U253" s="96"/>
      <c r="V253" s="96"/>
      <c r="W253" s="96"/>
      <c r="X253" s="96"/>
      <c r="Y253" s="96"/>
      <c r="Z253" s="96"/>
      <c r="AA253" s="96"/>
      <c r="AB253" s="96"/>
      <c r="AC253" s="96"/>
      <c r="AD253" s="96"/>
    </row>
    <row r="254" spans="1:30">
      <c r="A254" s="212"/>
      <c r="B254" s="212"/>
      <c r="C254" s="212"/>
      <c r="D254" s="212"/>
      <c r="E254" s="212"/>
      <c r="F254" s="212"/>
      <c r="G254" s="212"/>
      <c r="H254" s="212"/>
      <c r="I254" s="212"/>
      <c r="J254" s="529"/>
      <c r="K254" s="529"/>
      <c r="L254" s="473"/>
      <c r="M254" s="473"/>
      <c r="N254" s="473"/>
      <c r="O254" s="473"/>
      <c r="P254" s="473"/>
      <c r="Q254" s="473"/>
      <c r="R254" s="473"/>
      <c r="S254" s="96"/>
      <c r="T254" s="96"/>
      <c r="U254" s="96"/>
      <c r="V254" s="96"/>
      <c r="W254" s="96"/>
      <c r="X254" s="96"/>
      <c r="Y254" s="96"/>
      <c r="Z254" s="96"/>
      <c r="AA254" s="96"/>
      <c r="AB254" s="96"/>
      <c r="AC254" s="96"/>
      <c r="AD254" s="96"/>
    </row>
    <row r="255" spans="1:30">
      <c r="A255" s="212"/>
      <c r="B255" s="212"/>
      <c r="C255" s="212"/>
      <c r="D255" s="212"/>
      <c r="E255" s="212"/>
      <c r="F255" s="212"/>
      <c r="G255" s="212"/>
      <c r="H255" s="212"/>
      <c r="I255" s="212"/>
      <c r="J255" s="529"/>
      <c r="K255" s="529"/>
      <c r="L255" s="473"/>
      <c r="M255" s="473"/>
      <c r="N255" s="473"/>
      <c r="O255" s="473"/>
      <c r="P255" s="473"/>
      <c r="Q255" s="473"/>
      <c r="R255" s="473"/>
      <c r="S255" s="96"/>
      <c r="T255" s="96"/>
      <c r="U255" s="96"/>
      <c r="V255" s="96"/>
      <c r="W255" s="96"/>
      <c r="X255" s="96"/>
      <c r="Y255" s="96"/>
      <c r="Z255" s="96"/>
      <c r="AA255" s="96"/>
      <c r="AB255" s="96"/>
      <c r="AC255" s="96"/>
      <c r="AD255" s="96"/>
    </row>
    <row r="256" spans="1:30">
      <c r="A256" s="212"/>
      <c r="B256" s="212"/>
      <c r="C256" s="212"/>
      <c r="D256" s="212"/>
      <c r="E256" s="212"/>
      <c r="F256" s="212"/>
      <c r="G256" s="212"/>
      <c r="H256" s="212"/>
      <c r="I256" s="212"/>
      <c r="J256" s="529"/>
      <c r="K256" s="529"/>
      <c r="L256" s="473"/>
      <c r="M256" s="473"/>
      <c r="N256" s="473"/>
      <c r="O256" s="473"/>
      <c r="P256" s="473"/>
      <c r="Q256" s="473"/>
      <c r="R256" s="473"/>
      <c r="S256" s="96"/>
      <c r="T256" s="96"/>
      <c r="U256" s="96"/>
      <c r="V256" s="96"/>
      <c r="W256" s="96"/>
      <c r="X256" s="96"/>
      <c r="Y256" s="96"/>
      <c r="Z256" s="96"/>
      <c r="AA256" s="96"/>
      <c r="AB256" s="96"/>
      <c r="AC256" s="96"/>
      <c r="AD256" s="96"/>
    </row>
    <row r="257" spans="1:30">
      <c r="A257" s="212"/>
      <c r="B257" s="212"/>
      <c r="C257" s="212"/>
      <c r="D257" s="212"/>
      <c r="E257" s="212"/>
      <c r="F257" s="212"/>
      <c r="G257" s="212"/>
      <c r="H257" s="212"/>
      <c r="I257" s="212"/>
      <c r="J257" s="529"/>
      <c r="K257" s="529"/>
      <c r="L257" s="473"/>
      <c r="M257" s="473"/>
      <c r="N257" s="473"/>
      <c r="O257" s="473"/>
      <c r="P257" s="473"/>
      <c r="Q257" s="473"/>
      <c r="R257" s="473"/>
      <c r="S257" s="96"/>
      <c r="T257" s="96"/>
      <c r="U257" s="96"/>
      <c r="V257" s="96"/>
      <c r="W257" s="96"/>
      <c r="X257" s="96"/>
      <c r="Y257" s="96"/>
      <c r="Z257" s="96"/>
      <c r="AA257" s="96"/>
      <c r="AB257" s="96"/>
      <c r="AC257" s="96"/>
      <c r="AD257" s="96"/>
    </row>
    <row r="258" spans="1:30">
      <c r="A258" s="212"/>
      <c r="B258" s="212"/>
      <c r="C258" s="212"/>
      <c r="D258" s="212"/>
      <c r="E258" s="212"/>
      <c r="F258" s="212"/>
      <c r="G258" s="212"/>
      <c r="H258" s="212"/>
      <c r="I258" s="212"/>
      <c r="J258" s="529"/>
      <c r="K258" s="529"/>
      <c r="L258" s="473"/>
      <c r="M258" s="473"/>
      <c r="N258" s="473"/>
      <c r="O258" s="473"/>
      <c r="P258" s="473"/>
      <c r="Q258" s="473"/>
      <c r="R258" s="473"/>
      <c r="S258" s="96"/>
      <c r="T258" s="96"/>
      <c r="U258" s="96"/>
      <c r="V258" s="96"/>
      <c r="W258" s="96"/>
      <c r="X258" s="96"/>
      <c r="Y258" s="96"/>
      <c r="Z258" s="96"/>
      <c r="AA258" s="96"/>
      <c r="AB258" s="96"/>
      <c r="AC258" s="96"/>
      <c r="AD258" s="96"/>
    </row>
    <row r="259" spans="1:30">
      <c r="A259" s="212"/>
      <c r="B259" s="212"/>
      <c r="C259" s="212"/>
      <c r="D259" s="212"/>
      <c r="E259" s="212"/>
      <c r="F259" s="212"/>
      <c r="G259" s="212"/>
      <c r="H259" s="212"/>
      <c r="I259" s="212"/>
      <c r="J259" s="529"/>
      <c r="K259" s="529"/>
      <c r="L259" s="473"/>
      <c r="M259" s="473"/>
      <c r="N259" s="473"/>
      <c r="O259" s="473"/>
      <c r="P259" s="473"/>
      <c r="Q259" s="473"/>
      <c r="R259" s="473"/>
      <c r="S259" s="96"/>
      <c r="T259" s="96"/>
      <c r="U259" s="96"/>
      <c r="V259" s="96"/>
      <c r="W259" s="96"/>
      <c r="X259" s="96"/>
      <c r="Y259" s="96"/>
      <c r="Z259" s="96"/>
      <c r="AA259" s="96"/>
      <c r="AB259" s="96"/>
      <c r="AC259" s="96"/>
      <c r="AD259" s="96"/>
    </row>
    <row r="260" spans="1:30">
      <c r="A260" s="212"/>
      <c r="B260" s="212"/>
      <c r="C260" s="212"/>
      <c r="D260" s="212"/>
      <c r="E260" s="212"/>
      <c r="F260" s="212"/>
      <c r="G260" s="212"/>
      <c r="H260" s="212"/>
      <c r="I260" s="212"/>
      <c r="J260" s="529"/>
      <c r="K260" s="529"/>
      <c r="L260" s="473"/>
      <c r="M260" s="473"/>
      <c r="N260" s="473"/>
      <c r="O260" s="473"/>
      <c r="P260" s="473"/>
      <c r="Q260" s="473"/>
      <c r="R260" s="473"/>
      <c r="S260" s="96"/>
      <c r="T260" s="96"/>
      <c r="U260" s="96"/>
      <c r="V260" s="96"/>
      <c r="W260" s="96"/>
      <c r="X260" s="96"/>
      <c r="Y260" s="96"/>
      <c r="Z260" s="96"/>
      <c r="AA260" s="96"/>
      <c r="AB260" s="96"/>
      <c r="AC260" s="96"/>
      <c r="AD260" s="96"/>
    </row>
    <row r="261" spans="1:30">
      <c r="A261" s="212"/>
      <c r="B261" s="212"/>
      <c r="C261" s="212"/>
      <c r="D261" s="212"/>
      <c r="E261" s="212"/>
      <c r="F261" s="212"/>
      <c r="G261" s="212"/>
      <c r="H261" s="212"/>
      <c r="I261" s="212"/>
      <c r="J261" s="529"/>
      <c r="K261" s="529"/>
      <c r="L261" s="473"/>
      <c r="M261" s="473"/>
      <c r="N261" s="473"/>
      <c r="O261" s="473"/>
      <c r="P261" s="473"/>
      <c r="Q261" s="473"/>
      <c r="R261" s="473"/>
      <c r="S261" s="96"/>
      <c r="T261" s="96"/>
      <c r="U261" s="96"/>
      <c r="V261" s="96"/>
      <c r="W261" s="96"/>
      <c r="X261" s="96"/>
      <c r="Y261" s="96"/>
      <c r="Z261" s="96"/>
      <c r="AA261" s="96"/>
      <c r="AB261" s="96"/>
      <c r="AC261" s="96"/>
      <c r="AD261" s="96"/>
    </row>
    <row r="262" spans="1:30">
      <c r="A262" s="212"/>
      <c r="B262" s="212"/>
      <c r="C262" s="212"/>
      <c r="D262" s="212"/>
      <c r="E262" s="212"/>
      <c r="F262" s="212"/>
      <c r="G262" s="212"/>
      <c r="H262" s="212"/>
      <c r="I262" s="212"/>
      <c r="J262" s="529"/>
      <c r="K262" s="529"/>
      <c r="L262" s="473"/>
      <c r="M262" s="473"/>
      <c r="N262" s="473"/>
      <c r="O262" s="473"/>
      <c r="P262" s="473"/>
      <c r="Q262" s="473"/>
      <c r="R262" s="473"/>
      <c r="S262" s="96"/>
      <c r="T262" s="96"/>
      <c r="U262" s="96"/>
      <c r="V262" s="96"/>
      <c r="W262" s="96"/>
      <c r="X262" s="96"/>
      <c r="Y262" s="96"/>
      <c r="Z262" s="96"/>
      <c r="AA262" s="96"/>
      <c r="AB262" s="96"/>
      <c r="AC262" s="96"/>
      <c r="AD262" s="96"/>
    </row>
    <row r="263" spans="1:30">
      <c r="A263" s="212"/>
      <c r="B263" s="212"/>
      <c r="C263" s="212"/>
      <c r="D263" s="212"/>
      <c r="E263" s="212"/>
      <c r="F263" s="212"/>
      <c r="G263" s="212"/>
      <c r="H263" s="212"/>
      <c r="I263" s="212"/>
      <c r="J263" s="529"/>
      <c r="K263" s="529"/>
      <c r="L263" s="473"/>
      <c r="M263" s="473"/>
      <c r="N263" s="473"/>
      <c r="O263" s="473"/>
      <c r="P263" s="473"/>
      <c r="Q263" s="473"/>
      <c r="R263" s="473"/>
      <c r="S263" s="96"/>
      <c r="T263" s="96"/>
      <c r="U263" s="96"/>
      <c r="V263" s="96"/>
      <c r="W263" s="96"/>
      <c r="X263" s="96"/>
      <c r="Y263" s="96"/>
      <c r="Z263" s="96"/>
      <c r="AA263" s="96"/>
      <c r="AB263" s="96"/>
      <c r="AC263" s="96"/>
      <c r="AD263" s="96"/>
    </row>
    <row r="264" spans="1:30">
      <c r="A264" s="212"/>
      <c r="B264" s="212"/>
      <c r="C264" s="212"/>
      <c r="D264" s="212"/>
      <c r="E264" s="212"/>
      <c r="F264" s="212"/>
      <c r="G264" s="212"/>
      <c r="H264" s="212"/>
      <c r="I264" s="212"/>
      <c r="J264" s="529"/>
      <c r="K264" s="529"/>
      <c r="L264" s="473"/>
      <c r="M264" s="473"/>
      <c r="N264" s="473"/>
      <c r="O264" s="473"/>
      <c r="P264" s="473"/>
      <c r="Q264" s="473"/>
      <c r="R264" s="473"/>
      <c r="S264" s="96"/>
      <c r="T264" s="96"/>
      <c r="U264" s="96"/>
      <c r="V264" s="96"/>
      <c r="W264" s="96"/>
      <c r="X264" s="96"/>
      <c r="Y264" s="96"/>
      <c r="Z264" s="96"/>
      <c r="AA264" s="96"/>
      <c r="AB264" s="96"/>
      <c r="AC264" s="96"/>
      <c r="AD264" s="96"/>
    </row>
    <row r="265" spans="1:30">
      <c r="A265" s="212"/>
      <c r="B265" s="212"/>
      <c r="C265" s="212"/>
      <c r="D265" s="212"/>
      <c r="E265" s="212"/>
      <c r="F265" s="212"/>
      <c r="G265" s="212"/>
      <c r="H265" s="212"/>
      <c r="I265" s="212"/>
      <c r="J265" s="529"/>
      <c r="K265" s="529"/>
      <c r="L265" s="473"/>
      <c r="M265" s="473"/>
      <c r="N265" s="473"/>
      <c r="O265" s="473"/>
      <c r="P265" s="473"/>
      <c r="Q265" s="473"/>
      <c r="R265" s="473"/>
      <c r="S265" s="96"/>
      <c r="T265" s="96"/>
      <c r="U265" s="96"/>
      <c r="V265" s="96"/>
      <c r="W265" s="96"/>
      <c r="X265" s="96"/>
      <c r="Y265" s="96"/>
      <c r="Z265" s="96"/>
      <c r="AA265" s="96"/>
      <c r="AB265" s="96"/>
      <c r="AC265" s="96"/>
      <c r="AD265" s="96"/>
    </row>
    <row r="266" spans="1:30">
      <c r="A266" s="212"/>
      <c r="B266" s="212"/>
      <c r="C266" s="212"/>
      <c r="D266" s="212"/>
      <c r="E266" s="212"/>
      <c r="F266" s="212"/>
      <c r="G266" s="212"/>
      <c r="H266" s="212"/>
      <c r="I266" s="212"/>
      <c r="J266" s="529"/>
      <c r="K266" s="529"/>
      <c r="L266" s="473"/>
      <c r="M266" s="473"/>
      <c r="N266" s="473"/>
      <c r="O266" s="473"/>
      <c r="P266" s="473"/>
      <c r="Q266" s="473"/>
      <c r="R266" s="473"/>
      <c r="S266" s="96"/>
      <c r="T266" s="96"/>
      <c r="U266" s="96"/>
      <c r="V266" s="96"/>
      <c r="W266" s="96"/>
      <c r="X266" s="96"/>
      <c r="Y266" s="96"/>
      <c r="Z266" s="96"/>
      <c r="AA266" s="96"/>
      <c r="AB266" s="96"/>
      <c r="AC266" s="96"/>
      <c r="AD266" s="96"/>
    </row>
    <row r="267" spans="1:30">
      <c r="A267" s="212"/>
      <c r="B267" s="212"/>
      <c r="C267" s="212"/>
      <c r="D267" s="212"/>
      <c r="E267" s="212"/>
      <c r="F267" s="212"/>
      <c r="G267" s="212"/>
      <c r="H267" s="212"/>
      <c r="I267" s="212"/>
      <c r="J267" s="529"/>
      <c r="K267" s="529"/>
      <c r="L267" s="473"/>
      <c r="M267" s="473"/>
      <c r="N267" s="473"/>
      <c r="O267" s="473"/>
      <c r="P267" s="473"/>
      <c r="Q267" s="473"/>
      <c r="R267" s="473"/>
      <c r="S267" s="96"/>
      <c r="T267" s="96"/>
      <c r="U267" s="96"/>
      <c r="V267" s="96"/>
      <c r="W267" s="96"/>
      <c r="X267" s="96"/>
      <c r="Y267" s="96"/>
      <c r="Z267" s="96"/>
      <c r="AA267" s="96"/>
      <c r="AB267" s="96"/>
      <c r="AC267" s="96"/>
      <c r="AD267" s="96"/>
    </row>
    <row r="268" spans="1:30">
      <c r="A268" s="212"/>
      <c r="B268" s="212"/>
      <c r="C268" s="212"/>
      <c r="D268" s="212"/>
      <c r="E268" s="212"/>
      <c r="F268" s="212"/>
      <c r="G268" s="212"/>
      <c r="H268" s="212"/>
      <c r="I268" s="212"/>
      <c r="J268" s="529"/>
      <c r="K268" s="529"/>
      <c r="L268" s="473"/>
      <c r="M268" s="473"/>
      <c r="N268" s="473"/>
      <c r="O268" s="473"/>
      <c r="P268" s="473"/>
      <c r="Q268" s="473"/>
      <c r="R268" s="473"/>
      <c r="S268" s="96"/>
      <c r="T268" s="96"/>
      <c r="U268" s="96"/>
      <c r="V268" s="96"/>
      <c r="W268" s="96"/>
      <c r="X268" s="96"/>
      <c r="Y268" s="96"/>
      <c r="Z268" s="96"/>
      <c r="AA268" s="96"/>
      <c r="AB268" s="96"/>
      <c r="AC268" s="96"/>
      <c r="AD268" s="96"/>
    </row>
    <row r="269" spans="1:30">
      <c r="A269" s="212"/>
      <c r="B269" s="212"/>
      <c r="C269" s="212"/>
      <c r="D269" s="212"/>
      <c r="E269" s="212"/>
      <c r="F269" s="212"/>
      <c r="G269" s="212"/>
      <c r="H269" s="212"/>
      <c r="I269" s="212"/>
      <c r="J269" s="529"/>
      <c r="K269" s="529"/>
      <c r="L269" s="473"/>
      <c r="M269" s="473"/>
      <c r="N269" s="473"/>
      <c r="O269" s="473"/>
      <c r="P269" s="473"/>
      <c r="Q269" s="473"/>
      <c r="R269" s="473"/>
      <c r="S269" s="96"/>
      <c r="T269" s="96"/>
      <c r="U269" s="96"/>
      <c r="V269" s="96"/>
      <c r="W269" s="96"/>
      <c r="X269" s="96"/>
      <c r="Y269" s="96"/>
      <c r="Z269" s="96"/>
      <c r="AA269" s="96"/>
      <c r="AB269" s="96"/>
      <c r="AC269" s="96"/>
      <c r="AD269" s="96"/>
    </row>
    <row r="270" spans="1:30">
      <c r="A270" s="212"/>
      <c r="B270" s="212"/>
      <c r="C270" s="212"/>
      <c r="D270" s="212"/>
      <c r="E270" s="212"/>
      <c r="F270" s="212"/>
      <c r="G270" s="212"/>
      <c r="H270" s="212"/>
      <c r="I270" s="212"/>
      <c r="J270" s="529"/>
      <c r="K270" s="529"/>
      <c r="L270" s="473"/>
      <c r="M270" s="473"/>
      <c r="N270" s="473"/>
      <c r="O270" s="473"/>
      <c r="P270" s="473"/>
      <c r="Q270" s="473"/>
      <c r="R270" s="473"/>
      <c r="S270" s="96"/>
      <c r="T270" s="96"/>
      <c r="U270" s="96"/>
      <c r="V270" s="96"/>
      <c r="W270" s="96"/>
      <c r="X270" s="96"/>
      <c r="Y270" s="96"/>
      <c r="Z270" s="96"/>
      <c r="AA270" s="96"/>
      <c r="AB270" s="96"/>
      <c r="AC270" s="96"/>
      <c r="AD270" s="96"/>
    </row>
    <row r="271" spans="1:30">
      <c r="A271" s="212"/>
      <c r="B271" s="212"/>
      <c r="C271" s="212"/>
      <c r="D271" s="212"/>
      <c r="E271" s="212"/>
      <c r="F271" s="212"/>
      <c r="G271" s="212"/>
      <c r="H271" s="212"/>
      <c r="I271" s="212"/>
      <c r="J271" s="529"/>
      <c r="K271" s="529"/>
      <c r="L271" s="473"/>
      <c r="M271" s="473"/>
      <c r="N271" s="473"/>
      <c r="O271" s="473"/>
      <c r="P271" s="473"/>
      <c r="Q271" s="473"/>
      <c r="R271" s="473"/>
      <c r="S271" s="96"/>
      <c r="T271" s="96"/>
      <c r="U271" s="96"/>
      <c r="V271" s="96"/>
      <c r="W271" s="96"/>
      <c r="X271" s="96"/>
      <c r="Y271" s="96"/>
      <c r="Z271" s="96"/>
      <c r="AA271" s="96"/>
      <c r="AB271" s="96"/>
      <c r="AC271" s="96"/>
      <c r="AD271" s="96"/>
    </row>
    <row r="272" spans="1:30">
      <c r="A272" s="212"/>
      <c r="B272" s="212"/>
      <c r="C272" s="212"/>
      <c r="D272" s="212"/>
      <c r="E272" s="212"/>
      <c r="F272" s="212"/>
      <c r="G272" s="212"/>
      <c r="H272" s="212"/>
      <c r="I272" s="212"/>
      <c r="J272" s="529"/>
      <c r="K272" s="529"/>
      <c r="L272" s="473"/>
      <c r="M272" s="473"/>
      <c r="N272" s="473"/>
      <c r="O272" s="473"/>
      <c r="P272" s="473"/>
      <c r="Q272" s="473"/>
      <c r="R272" s="473"/>
      <c r="S272" s="96"/>
      <c r="T272" s="96"/>
      <c r="U272" s="96"/>
      <c r="V272" s="96"/>
      <c r="W272" s="96"/>
      <c r="X272" s="96"/>
      <c r="Y272" s="96"/>
      <c r="Z272" s="96"/>
      <c r="AA272" s="96"/>
      <c r="AB272" s="96"/>
      <c r="AC272" s="96"/>
      <c r="AD272" s="96"/>
    </row>
    <row r="273" spans="1:30">
      <c r="A273" s="212"/>
      <c r="B273" s="212"/>
      <c r="C273" s="212"/>
      <c r="D273" s="212"/>
      <c r="E273" s="212"/>
      <c r="F273" s="212"/>
      <c r="G273" s="212"/>
      <c r="H273" s="212"/>
      <c r="I273" s="212"/>
      <c r="J273" s="529"/>
      <c r="K273" s="529"/>
      <c r="L273" s="473"/>
      <c r="M273" s="473"/>
      <c r="N273" s="473"/>
      <c r="O273" s="473"/>
      <c r="P273" s="473"/>
      <c r="Q273" s="473"/>
      <c r="R273" s="473"/>
      <c r="S273" s="96"/>
      <c r="T273" s="96"/>
      <c r="U273" s="96"/>
      <c r="V273" s="96"/>
      <c r="W273" s="96"/>
      <c r="X273" s="96"/>
      <c r="Y273" s="96"/>
      <c r="Z273" s="96"/>
      <c r="AA273" s="96"/>
      <c r="AB273" s="96"/>
      <c r="AC273" s="96"/>
      <c r="AD273" s="96"/>
    </row>
    <row r="274" spans="1:30">
      <c r="A274" s="212"/>
      <c r="B274" s="212"/>
      <c r="C274" s="212"/>
      <c r="D274" s="212"/>
      <c r="E274" s="212"/>
      <c r="F274" s="212"/>
      <c r="G274" s="212"/>
      <c r="H274" s="212"/>
      <c r="I274" s="212"/>
      <c r="J274" s="212"/>
      <c r="K274" s="212"/>
      <c r="L274" s="209"/>
      <c r="M274" s="209"/>
      <c r="N274" s="209"/>
      <c r="O274" s="209"/>
      <c r="P274" s="209"/>
      <c r="Q274" s="210"/>
      <c r="R274" s="210"/>
    </row>
    <row r="275" spans="1:30">
      <c r="A275" s="212"/>
      <c r="B275" s="212"/>
      <c r="C275" s="212"/>
      <c r="D275" s="212"/>
      <c r="E275" s="212"/>
      <c r="F275" s="212"/>
      <c r="G275" s="212"/>
      <c r="H275" s="212"/>
      <c r="I275" s="212"/>
      <c r="J275" s="212"/>
      <c r="K275" s="212"/>
      <c r="L275" s="209"/>
      <c r="M275" s="209"/>
      <c r="N275" s="209"/>
      <c r="O275" s="209"/>
      <c r="P275" s="209"/>
      <c r="Q275" s="210"/>
      <c r="R275" s="210"/>
    </row>
    <row r="276" spans="1:30">
      <c r="A276" s="212"/>
      <c r="B276" s="212"/>
      <c r="C276" s="212"/>
      <c r="D276" s="212"/>
      <c r="E276" s="212"/>
      <c r="F276" s="212"/>
      <c r="G276" s="212"/>
      <c r="H276" s="212"/>
      <c r="I276" s="212"/>
      <c r="J276" s="212"/>
      <c r="K276" s="212"/>
      <c r="L276" s="209"/>
      <c r="M276" s="209"/>
      <c r="N276" s="209"/>
      <c r="O276" s="209"/>
      <c r="P276" s="209"/>
      <c r="Q276" s="210"/>
      <c r="R276" s="210"/>
    </row>
    <row r="277" spans="1:30">
      <c r="A277" s="212"/>
      <c r="B277" s="212"/>
      <c r="C277" s="212"/>
      <c r="D277" s="212"/>
      <c r="E277" s="212"/>
      <c r="F277" s="212"/>
      <c r="G277" s="212"/>
      <c r="H277" s="212"/>
      <c r="I277" s="212"/>
      <c r="J277" s="212"/>
      <c r="K277" s="212"/>
      <c r="L277" s="209"/>
      <c r="M277" s="209"/>
      <c r="N277" s="209"/>
      <c r="O277" s="209"/>
      <c r="P277" s="209"/>
      <c r="Q277" s="210"/>
      <c r="R277" s="210"/>
    </row>
    <row r="278" spans="1:30">
      <c r="A278" s="212"/>
      <c r="B278" s="212"/>
      <c r="C278" s="212"/>
      <c r="D278" s="212"/>
      <c r="E278" s="212"/>
      <c r="F278" s="212"/>
      <c r="G278" s="212"/>
      <c r="H278" s="212"/>
      <c r="I278" s="212"/>
      <c r="J278" s="212"/>
      <c r="K278" s="212"/>
      <c r="L278" s="209"/>
      <c r="M278" s="209"/>
      <c r="N278" s="209"/>
      <c r="O278" s="209"/>
      <c r="P278" s="209"/>
      <c r="Q278" s="210"/>
      <c r="R278" s="210"/>
    </row>
    <row r="279" spans="1:30">
      <c r="A279" s="212"/>
      <c r="B279" s="212"/>
      <c r="C279" s="212"/>
      <c r="D279" s="212"/>
      <c r="E279" s="212"/>
      <c r="F279" s="212"/>
      <c r="G279" s="212"/>
      <c r="H279" s="212"/>
      <c r="I279" s="212"/>
      <c r="J279" s="212"/>
      <c r="K279" s="212"/>
      <c r="L279" s="209"/>
      <c r="M279" s="209"/>
      <c r="N279" s="209"/>
      <c r="O279" s="209"/>
      <c r="P279" s="209"/>
      <c r="Q279" s="210"/>
      <c r="R279" s="210"/>
    </row>
    <row r="280" spans="1:30">
      <c r="A280" s="212"/>
      <c r="B280" s="212"/>
      <c r="C280" s="212"/>
      <c r="D280" s="212"/>
      <c r="E280" s="212"/>
      <c r="F280" s="212"/>
      <c r="G280" s="212"/>
      <c r="H280" s="212"/>
      <c r="I280" s="212"/>
      <c r="J280" s="212"/>
      <c r="K280" s="212"/>
      <c r="L280" s="209"/>
      <c r="M280" s="209"/>
      <c r="N280" s="209"/>
      <c r="O280" s="209"/>
      <c r="P280" s="209"/>
      <c r="Q280" s="210"/>
      <c r="R280" s="210"/>
    </row>
    <row r="281" spans="1:30">
      <c r="A281" s="212"/>
      <c r="B281" s="212"/>
      <c r="C281" s="212"/>
      <c r="D281" s="212"/>
      <c r="E281" s="212"/>
      <c r="F281" s="212"/>
      <c r="G281" s="212"/>
      <c r="H281" s="212"/>
      <c r="I281" s="212"/>
      <c r="J281" s="212"/>
      <c r="K281" s="212"/>
      <c r="L281" s="209"/>
      <c r="M281" s="209"/>
      <c r="N281" s="209"/>
      <c r="O281" s="209"/>
      <c r="P281" s="209"/>
      <c r="Q281" s="210"/>
      <c r="R281" s="210"/>
    </row>
    <row r="282" spans="1:30">
      <c r="A282" s="212"/>
      <c r="B282" s="212"/>
      <c r="C282" s="212"/>
      <c r="D282" s="212"/>
      <c r="E282" s="212"/>
      <c r="F282" s="212"/>
      <c r="G282" s="212"/>
      <c r="H282" s="212"/>
      <c r="I282" s="212"/>
      <c r="J282" s="212"/>
      <c r="K282" s="212"/>
      <c r="L282" s="209"/>
      <c r="M282" s="209"/>
      <c r="N282" s="209"/>
      <c r="O282" s="209"/>
      <c r="P282" s="209"/>
      <c r="Q282" s="210"/>
      <c r="R282" s="210"/>
    </row>
    <row r="283" spans="1:30">
      <c r="A283" s="212"/>
      <c r="B283" s="212"/>
      <c r="C283" s="212"/>
      <c r="D283" s="212"/>
      <c r="E283" s="212"/>
      <c r="F283" s="212"/>
      <c r="G283" s="212"/>
      <c r="H283" s="212"/>
      <c r="I283" s="212"/>
      <c r="J283" s="212"/>
      <c r="K283" s="212"/>
      <c r="L283" s="209"/>
      <c r="M283" s="209"/>
      <c r="N283" s="209"/>
      <c r="O283" s="209"/>
      <c r="P283" s="209"/>
      <c r="Q283" s="210"/>
      <c r="R283" s="210"/>
    </row>
    <row r="284" spans="1:30">
      <c r="A284" s="212"/>
      <c r="B284" s="212"/>
      <c r="C284" s="212"/>
      <c r="D284" s="212"/>
      <c r="E284" s="212"/>
      <c r="F284" s="212"/>
      <c r="G284" s="212"/>
      <c r="H284" s="212"/>
      <c r="I284" s="212"/>
      <c r="J284" s="212"/>
      <c r="K284" s="212"/>
      <c r="L284" s="209"/>
      <c r="M284" s="209"/>
      <c r="N284" s="209"/>
      <c r="O284" s="209"/>
      <c r="P284" s="209"/>
      <c r="Q284" s="210"/>
      <c r="R284" s="210"/>
    </row>
    <row r="285" spans="1:30">
      <c r="A285" s="212"/>
      <c r="B285" s="212"/>
      <c r="C285" s="212"/>
      <c r="D285" s="212"/>
      <c r="E285" s="212"/>
      <c r="F285" s="212"/>
      <c r="G285" s="212"/>
      <c r="H285" s="212"/>
      <c r="I285" s="212"/>
      <c r="J285" s="212"/>
      <c r="K285" s="212"/>
      <c r="L285" s="209"/>
      <c r="M285" s="209"/>
      <c r="N285" s="209"/>
      <c r="O285" s="209"/>
      <c r="P285" s="209"/>
      <c r="Q285" s="210"/>
      <c r="R285" s="210"/>
    </row>
    <row r="286" spans="1:30">
      <c r="A286" s="212"/>
      <c r="B286" s="212"/>
      <c r="C286" s="212"/>
      <c r="D286" s="212"/>
      <c r="E286" s="212"/>
      <c r="F286" s="212"/>
      <c r="G286" s="212"/>
      <c r="H286" s="212"/>
      <c r="I286" s="212"/>
      <c r="J286" s="212"/>
      <c r="K286" s="212"/>
      <c r="L286" s="209"/>
      <c r="M286" s="209"/>
      <c r="N286" s="209"/>
      <c r="O286" s="209"/>
      <c r="P286" s="209"/>
      <c r="Q286" s="210"/>
      <c r="R286" s="210"/>
    </row>
    <row r="287" spans="1:30">
      <c r="A287" s="212"/>
      <c r="B287" s="212"/>
      <c r="C287" s="212"/>
      <c r="D287" s="212"/>
      <c r="E287" s="212"/>
      <c r="F287" s="212"/>
      <c r="G287" s="212"/>
      <c r="H287" s="212"/>
      <c r="I287" s="212"/>
      <c r="J287" s="212"/>
      <c r="K287" s="212"/>
      <c r="L287" s="209"/>
      <c r="M287" s="209"/>
      <c r="N287" s="209"/>
      <c r="O287" s="209"/>
      <c r="P287" s="209"/>
      <c r="Q287" s="210"/>
      <c r="R287" s="210"/>
    </row>
    <row r="288" spans="1:30">
      <c r="A288" s="212"/>
      <c r="B288" s="212"/>
      <c r="C288" s="212"/>
      <c r="D288" s="212"/>
      <c r="E288" s="212"/>
      <c r="F288" s="212"/>
      <c r="G288" s="212"/>
      <c r="H288" s="212"/>
      <c r="I288" s="212"/>
      <c r="J288" s="212"/>
      <c r="K288" s="212"/>
      <c r="L288" s="209"/>
      <c r="M288" s="209"/>
      <c r="N288" s="209"/>
      <c r="O288" s="209"/>
      <c r="P288" s="209"/>
      <c r="Q288" s="210"/>
      <c r="R288" s="210"/>
    </row>
    <row r="289" spans="1:18">
      <c r="A289" s="212"/>
      <c r="B289" s="212"/>
      <c r="C289" s="212"/>
      <c r="D289" s="212"/>
      <c r="E289" s="212"/>
      <c r="F289" s="212"/>
      <c r="G289" s="212"/>
      <c r="H289" s="212"/>
      <c r="I289" s="212"/>
      <c r="J289" s="212"/>
      <c r="K289" s="212"/>
      <c r="L289" s="209"/>
      <c r="M289" s="209"/>
      <c r="N289" s="209"/>
      <c r="O289" s="209"/>
      <c r="P289" s="209"/>
      <c r="Q289" s="210"/>
      <c r="R289" s="210"/>
    </row>
    <row r="290" spans="1:18">
      <c r="A290" s="212"/>
      <c r="B290" s="212"/>
      <c r="C290" s="212"/>
      <c r="D290" s="212"/>
      <c r="E290" s="212"/>
      <c r="F290" s="212"/>
      <c r="G290" s="212"/>
      <c r="H290" s="212"/>
      <c r="I290" s="212"/>
      <c r="J290" s="212"/>
      <c r="K290" s="212"/>
      <c r="L290" s="209"/>
      <c r="M290" s="209"/>
      <c r="N290" s="209"/>
      <c r="O290" s="209"/>
      <c r="P290" s="209"/>
      <c r="Q290" s="210"/>
      <c r="R290" s="210"/>
    </row>
    <row r="291" spans="1:18">
      <c r="A291" s="212"/>
      <c r="B291" s="212"/>
      <c r="C291" s="212"/>
      <c r="D291" s="212"/>
      <c r="E291" s="212"/>
      <c r="F291" s="212"/>
      <c r="G291" s="212"/>
      <c r="H291" s="212"/>
      <c r="I291" s="212"/>
      <c r="J291" s="212"/>
      <c r="K291" s="212"/>
      <c r="L291" s="209"/>
      <c r="M291" s="209"/>
      <c r="N291" s="209"/>
      <c r="O291" s="209"/>
      <c r="P291" s="209"/>
      <c r="Q291" s="210"/>
      <c r="R291" s="210"/>
    </row>
    <row r="292" spans="1:18">
      <c r="A292" s="212"/>
      <c r="B292" s="212"/>
      <c r="C292" s="212"/>
      <c r="D292" s="212"/>
      <c r="E292" s="212"/>
      <c r="F292" s="212"/>
      <c r="G292" s="212"/>
      <c r="H292" s="212"/>
      <c r="I292" s="212"/>
      <c r="J292" s="212"/>
      <c r="K292" s="212"/>
      <c r="L292" s="209"/>
      <c r="M292" s="209"/>
      <c r="N292" s="209"/>
      <c r="O292" s="209"/>
      <c r="P292" s="209"/>
      <c r="Q292" s="210"/>
      <c r="R292" s="210"/>
    </row>
    <row r="293" spans="1:18">
      <c r="A293" s="212"/>
      <c r="B293" s="212"/>
      <c r="C293" s="212"/>
      <c r="D293" s="212"/>
      <c r="E293" s="212"/>
      <c r="F293" s="212"/>
      <c r="G293" s="212"/>
      <c r="H293" s="212"/>
      <c r="I293" s="212"/>
      <c r="J293" s="212"/>
      <c r="K293" s="212"/>
      <c r="L293" s="209"/>
      <c r="M293" s="209"/>
      <c r="N293" s="209"/>
      <c r="O293" s="209"/>
      <c r="P293" s="209"/>
      <c r="Q293" s="210"/>
      <c r="R293" s="210"/>
    </row>
    <row r="294" spans="1:18">
      <c r="A294" s="212"/>
      <c r="B294" s="212"/>
      <c r="C294" s="212"/>
      <c r="D294" s="212"/>
      <c r="E294" s="212"/>
      <c r="F294" s="212"/>
      <c r="G294" s="212"/>
      <c r="H294" s="212"/>
      <c r="I294" s="212"/>
      <c r="J294" s="212"/>
      <c r="K294" s="212"/>
      <c r="L294" s="209"/>
      <c r="M294" s="209"/>
      <c r="N294" s="209"/>
      <c r="O294" s="209"/>
      <c r="P294" s="209"/>
      <c r="Q294" s="210"/>
      <c r="R294" s="210"/>
    </row>
    <row r="295" spans="1:18">
      <c r="A295" s="212"/>
      <c r="B295" s="212"/>
      <c r="C295" s="212"/>
      <c r="D295" s="212"/>
      <c r="E295" s="212"/>
      <c r="F295" s="212"/>
      <c r="G295" s="212"/>
      <c r="H295" s="212"/>
      <c r="I295" s="212"/>
      <c r="J295" s="212"/>
      <c r="K295" s="212"/>
      <c r="L295" s="209"/>
      <c r="M295" s="209"/>
      <c r="N295" s="209"/>
      <c r="O295" s="209"/>
      <c r="P295" s="209"/>
      <c r="Q295" s="210"/>
      <c r="R295" s="210"/>
    </row>
    <row r="296" spans="1:18">
      <c r="A296" s="212"/>
      <c r="B296" s="212"/>
      <c r="C296" s="212"/>
      <c r="D296" s="212"/>
      <c r="E296" s="212"/>
      <c r="F296" s="212"/>
      <c r="G296" s="212"/>
      <c r="H296" s="212"/>
      <c r="I296" s="212"/>
      <c r="J296" s="212"/>
      <c r="K296" s="212"/>
      <c r="L296" s="209"/>
      <c r="M296" s="209"/>
      <c r="N296" s="209"/>
      <c r="O296" s="209"/>
      <c r="P296" s="209"/>
      <c r="Q296" s="210"/>
      <c r="R296" s="210"/>
    </row>
    <row r="297" spans="1:18">
      <c r="A297" s="212"/>
      <c r="B297" s="212"/>
      <c r="C297" s="212"/>
      <c r="D297" s="212"/>
      <c r="E297" s="212"/>
      <c r="F297" s="212"/>
      <c r="G297" s="212"/>
      <c r="H297" s="212"/>
      <c r="I297" s="212"/>
      <c r="J297" s="212"/>
      <c r="K297" s="212"/>
      <c r="L297" s="209"/>
      <c r="M297" s="209"/>
      <c r="N297" s="209"/>
      <c r="O297" s="209"/>
      <c r="P297" s="209"/>
      <c r="Q297" s="210"/>
      <c r="R297" s="210"/>
    </row>
    <row r="298" spans="1:18">
      <c r="A298" s="212"/>
      <c r="B298" s="212"/>
      <c r="C298" s="212"/>
      <c r="D298" s="212"/>
      <c r="E298" s="212"/>
      <c r="F298" s="212"/>
      <c r="G298" s="212"/>
      <c r="H298" s="212"/>
      <c r="I298" s="212"/>
      <c r="J298" s="212"/>
      <c r="K298" s="212"/>
      <c r="L298" s="209"/>
      <c r="M298" s="209"/>
      <c r="N298" s="209"/>
      <c r="O298" s="209"/>
      <c r="P298" s="209"/>
      <c r="Q298" s="210"/>
      <c r="R298" s="210"/>
    </row>
    <row r="299" spans="1:18">
      <c r="A299" s="212"/>
      <c r="B299" s="532"/>
      <c r="C299" s="532"/>
      <c r="D299" s="532"/>
      <c r="E299" s="532"/>
      <c r="F299" s="532"/>
      <c r="G299" s="532"/>
      <c r="H299" s="212"/>
      <c r="I299" s="212"/>
      <c r="J299" s="212"/>
      <c r="K299" s="212"/>
      <c r="L299" s="209"/>
      <c r="M299" s="209"/>
      <c r="N299" s="209"/>
      <c r="O299" s="209"/>
      <c r="P299" s="209"/>
      <c r="Q299" s="210"/>
      <c r="R299" s="210"/>
    </row>
    <row r="300" spans="1:18">
      <c r="A300" s="212"/>
      <c r="B300" s="532"/>
      <c r="C300" s="532"/>
      <c r="D300" s="532"/>
      <c r="E300" s="532"/>
      <c r="F300" s="532"/>
      <c r="G300" s="532"/>
      <c r="H300" s="212"/>
      <c r="I300" s="212"/>
      <c r="J300" s="212"/>
      <c r="K300" s="212"/>
      <c r="L300" s="209"/>
      <c r="M300" s="209"/>
      <c r="N300" s="209"/>
      <c r="O300" s="209"/>
      <c r="P300" s="209"/>
      <c r="Q300" s="210"/>
      <c r="R300" s="210"/>
    </row>
    <row r="301" spans="1:18">
      <c r="A301" s="212"/>
      <c r="B301" s="532"/>
      <c r="C301" s="532"/>
      <c r="D301" s="532"/>
      <c r="E301" s="532"/>
      <c r="F301" s="532"/>
      <c r="G301" s="532"/>
      <c r="H301" s="212"/>
      <c r="I301" s="212"/>
      <c r="J301" s="212"/>
      <c r="K301" s="212"/>
      <c r="L301" s="209"/>
      <c r="M301" s="209"/>
      <c r="N301" s="209"/>
      <c r="O301" s="209"/>
      <c r="P301" s="209"/>
      <c r="Q301" s="210"/>
      <c r="R301" s="210"/>
    </row>
    <row r="302" spans="1:18">
      <c r="A302" s="212"/>
      <c r="B302" s="532"/>
      <c r="C302" s="532"/>
      <c r="D302" s="532"/>
      <c r="E302" s="532"/>
      <c r="F302" s="532"/>
      <c r="G302" s="532"/>
      <c r="H302" s="212"/>
      <c r="I302" s="212"/>
      <c r="J302" s="212"/>
      <c r="K302" s="212"/>
      <c r="L302" s="209"/>
      <c r="M302" s="209"/>
      <c r="N302" s="209"/>
      <c r="O302" s="209"/>
      <c r="P302" s="209"/>
      <c r="Q302" s="210"/>
      <c r="R302" s="210"/>
    </row>
  </sheetData>
  <sheetProtection algorithmName="SHA-512" hashValue="EFu+76zfg4ZuDX+2wFfj+b+olbASPQGexUw403V4MPnhmMgML8OOJl4uRiDdkDv/H8CTbfS3CEvl+fOv+5u/OQ==" saltValue="UrUcdaXNjGOrsvifAPBubw==" spinCount="100000" sheet="1" objects="1" scenarios="1"/>
  <customSheetViews>
    <customSheetView guid="{52A26A5D-FD00-480B-943F-DB06B537D6D8}" scale="75">
      <selection activeCell="G49" sqref="G49"/>
      <pageMargins left="0" right="0" top="0" bottom="0" header="0" footer="0"/>
      <pageSetup orientation="portrait" r:id="rId1"/>
    </customSheetView>
    <customSheetView guid="{EF22FA0B-F747-41C1-93DE-56651BBC6020}" scale="76" hiddenColumns="1" topLeftCell="A13">
      <selection activeCell="H63" sqref="H63"/>
      <pageMargins left="0" right="0" top="0" bottom="0" header="0" footer="0"/>
      <pageSetup orientation="portrait" r:id="rId2"/>
    </customSheetView>
  </customSheetViews>
  <mergeCells count="5">
    <mergeCell ref="B33:E33"/>
    <mergeCell ref="B1:E1"/>
    <mergeCell ref="B184:E184"/>
    <mergeCell ref="B140:E140"/>
    <mergeCell ref="B132:E132"/>
  </mergeCells>
  <pageMargins left="0.7" right="0.7" top="0.75" bottom="0.75" header="0.3" footer="0.3"/>
  <pageSetup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1E12A-460D-4BE0-855E-00862C9719CD}">
  <sheetPr codeName="Sheet8"/>
  <dimension ref="A1:BA105"/>
  <sheetViews>
    <sheetView zoomScale="90" zoomScaleNormal="90" workbookViewId="0"/>
  </sheetViews>
  <sheetFormatPr defaultColWidth="8.81640625" defaultRowHeight="14.5"/>
  <cols>
    <col min="1" max="1" width="14.81640625" style="144" customWidth="1"/>
    <col min="2" max="2" width="10.26953125" style="144" customWidth="1"/>
    <col min="3" max="3" width="6.453125" style="144" customWidth="1"/>
    <col min="4" max="4" width="5.7265625" style="144" customWidth="1"/>
    <col min="5" max="5" width="12" style="144" bestFit="1" customWidth="1"/>
    <col min="6" max="6" width="5.26953125" style="144" bestFit="1" customWidth="1"/>
    <col min="7" max="7" width="35" style="144" bestFit="1" customWidth="1"/>
    <col min="8" max="8" width="38.453125" style="144" bestFit="1" customWidth="1"/>
    <col min="9" max="9" width="8.7265625" style="144"/>
    <col min="10" max="53" width="8.7265625" style="22"/>
  </cols>
  <sheetData>
    <row r="1" spans="5:8" ht="12.75" customHeight="1"/>
    <row r="2" spans="5:8" ht="6.75" customHeight="1" thickBot="1"/>
    <row r="3" spans="5:8">
      <c r="E3" s="172" t="s">
        <v>779</v>
      </c>
      <c r="F3" s="173" t="s">
        <v>780</v>
      </c>
      <c r="G3" s="173" t="s">
        <v>781</v>
      </c>
      <c r="H3" s="174" t="s">
        <v>782</v>
      </c>
    </row>
    <row r="4" spans="5:8">
      <c r="E4" s="175" t="s">
        <v>783</v>
      </c>
      <c r="F4" s="176" t="s">
        <v>784</v>
      </c>
      <c r="G4" s="177" t="s">
        <v>785</v>
      </c>
      <c r="H4" s="178" t="s">
        <v>786</v>
      </c>
    </row>
    <row r="5" spans="5:8">
      <c r="E5" s="175" t="s">
        <v>787</v>
      </c>
      <c r="F5" s="176" t="s">
        <v>788</v>
      </c>
      <c r="G5" s="177" t="s">
        <v>789</v>
      </c>
      <c r="H5" s="178" t="s">
        <v>790</v>
      </c>
    </row>
    <row r="6" spans="5:8">
      <c r="E6" s="175" t="s">
        <v>791</v>
      </c>
      <c r="F6" s="176" t="s">
        <v>792</v>
      </c>
      <c r="G6" s="177" t="s">
        <v>793</v>
      </c>
      <c r="H6" s="178" t="s">
        <v>794</v>
      </c>
    </row>
    <row r="7" spans="5:8">
      <c r="E7" s="175" t="s">
        <v>795</v>
      </c>
      <c r="F7" s="176" t="s">
        <v>796</v>
      </c>
      <c r="G7" s="177" t="s">
        <v>797</v>
      </c>
      <c r="H7" s="178" t="s">
        <v>798</v>
      </c>
    </row>
    <row r="8" spans="5:8">
      <c r="E8" s="175" t="s">
        <v>799</v>
      </c>
      <c r="F8" s="176" t="s">
        <v>796</v>
      </c>
      <c r="G8" s="177" t="s">
        <v>797</v>
      </c>
      <c r="H8" s="178" t="s">
        <v>798</v>
      </c>
    </row>
    <row r="9" spans="5:8">
      <c r="E9" s="175" t="s">
        <v>800</v>
      </c>
      <c r="F9" s="176" t="s">
        <v>801</v>
      </c>
      <c r="G9" s="177" t="s">
        <v>802</v>
      </c>
      <c r="H9" s="178" t="s">
        <v>802</v>
      </c>
    </row>
    <row r="10" spans="5:8">
      <c r="E10" s="175" t="s">
        <v>803</v>
      </c>
      <c r="F10" s="176" t="s">
        <v>804</v>
      </c>
      <c r="G10" s="177" t="s">
        <v>805</v>
      </c>
      <c r="H10" s="178" t="s">
        <v>806</v>
      </c>
    </row>
    <row r="11" spans="5:8">
      <c r="E11" s="175" t="s">
        <v>807</v>
      </c>
      <c r="F11" s="176" t="s">
        <v>808</v>
      </c>
      <c r="G11" s="177" t="s">
        <v>809</v>
      </c>
      <c r="H11" s="178" t="s">
        <v>810</v>
      </c>
    </row>
    <row r="12" spans="5:8">
      <c r="E12" s="175" t="s">
        <v>811</v>
      </c>
      <c r="F12" s="176" t="s">
        <v>812</v>
      </c>
      <c r="G12" s="177" t="s">
        <v>813</v>
      </c>
      <c r="H12" s="178" t="s">
        <v>814</v>
      </c>
    </row>
    <row r="13" spans="5:8">
      <c r="E13" s="175" t="s">
        <v>815</v>
      </c>
      <c r="F13" s="176" t="s">
        <v>816</v>
      </c>
      <c r="G13" s="177" t="s">
        <v>817</v>
      </c>
      <c r="H13" s="178" t="s">
        <v>817</v>
      </c>
    </row>
    <row r="14" spans="5:8">
      <c r="E14" s="175" t="s">
        <v>818</v>
      </c>
      <c r="F14" s="176" t="s">
        <v>819</v>
      </c>
      <c r="G14" s="177" t="s">
        <v>820</v>
      </c>
      <c r="H14" s="178" t="s">
        <v>821</v>
      </c>
    </row>
    <row r="15" spans="5:8">
      <c r="E15" s="175" t="s">
        <v>822</v>
      </c>
      <c r="F15" s="176" t="s">
        <v>823</v>
      </c>
      <c r="G15" s="177" t="s">
        <v>824</v>
      </c>
      <c r="H15" s="178" t="s">
        <v>825</v>
      </c>
    </row>
    <row r="16" spans="5:8">
      <c r="E16" s="175" t="s">
        <v>826</v>
      </c>
      <c r="F16" s="176" t="s">
        <v>827</v>
      </c>
      <c r="G16" s="177" t="s">
        <v>828</v>
      </c>
      <c r="H16" s="178" t="s">
        <v>829</v>
      </c>
    </row>
    <row r="17" spans="5:8">
      <c r="E17" s="175" t="s">
        <v>830</v>
      </c>
      <c r="F17" s="176" t="s">
        <v>831</v>
      </c>
      <c r="G17" s="177" t="s">
        <v>832</v>
      </c>
      <c r="H17" s="178" t="s">
        <v>833</v>
      </c>
    </row>
    <row r="18" spans="5:8">
      <c r="E18" s="175" t="s">
        <v>834</v>
      </c>
      <c r="F18" s="176" t="s">
        <v>835</v>
      </c>
      <c r="G18" s="177" t="s">
        <v>836</v>
      </c>
      <c r="H18" s="178" t="s">
        <v>837</v>
      </c>
    </row>
    <row r="19" spans="5:8">
      <c r="E19" s="175" t="s">
        <v>838</v>
      </c>
      <c r="F19" s="176" t="s">
        <v>839</v>
      </c>
      <c r="G19" s="177" t="s">
        <v>840</v>
      </c>
      <c r="H19" s="178" t="s">
        <v>841</v>
      </c>
    </row>
    <row r="20" spans="5:8">
      <c r="E20" s="175" t="s">
        <v>842</v>
      </c>
      <c r="F20" s="176" t="s">
        <v>843</v>
      </c>
      <c r="G20" s="177" t="s">
        <v>844</v>
      </c>
      <c r="H20" s="178" t="s">
        <v>844</v>
      </c>
    </row>
    <row r="21" spans="5:8">
      <c r="E21" s="175" t="s">
        <v>845</v>
      </c>
      <c r="F21" s="176" t="s">
        <v>846</v>
      </c>
      <c r="G21" s="177" t="s">
        <v>847</v>
      </c>
      <c r="H21" s="178" t="s">
        <v>848</v>
      </c>
    </row>
    <row r="22" spans="5:8">
      <c r="E22" s="175" t="s">
        <v>849</v>
      </c>
      <c r="F22" s="176" t="s">
        <v>850</v>
      </c>
      <c r="G22" s="177" t="s">
        <v>851</v>
      </c>
      <c r="H22" s="178" t="s">
        <v>852</v>
      </c>
    </row>
    <row r="23" spans="5:8">
      <c r="E23" s="175" t="s">
        <v>853</v>
      </c>
      <c r="F23" s="176" t="s">
        <v>808</v>
      </c>
      <c r="G23" s="177" t="s">
        <v>854</v>
      </c>
      <c r="H23" s="178" t="s">
        <v>854</v>
      </c>
    </row>
    <row r="24" spans="5:8">
      <c r="E24" s="175" t="s">
        <v>855</v>
      </c>
      <c r="F24" s="176" t="s">
        <v>784</v>
      </c>
      <c r="G24" s="177" t="s">
        <v>856</v>
      </c>
      <c r="H24" s="178" t="s">
        <v>856</v>
      </c>
    </row>
    <row r="25" spans="5:8">
      <c r="E25" s="175" t="s">
        <v>857</v>
      </c>
      <c r="F25" s="176" t="s">
        <v>784</v>
      </c>
      <c r="G25" s="177" t="s">
        <v>858</v>
      </c>
      <c r="H25" s="178" t="s">
        <v>786</v>
      </c>
    </row>
    <row r="26" spans="5:8">
      <c r="E26" s="175" t="s">
        <v>859</v>
      </c>
      <c r="F26" s="176" t="s">
        <v>801</v>
      </c>
      <c r="G26" s="177" t="s">
        <v>860</v>
      </c>
      <c r="H26" s="178" t="s">
        <v>860</v>
      </c>
    </row>
    <row r="27" spans="5:8">
      <c r="E27" s="175" t="s">
        <v>861</v>
      </c>
      <c r="F27" s="176" t="s">
        <v>843</v>
      </c>
      <c r="G27" s="177" t="s">
        <v>844</v>
      </c>
      <c r="H27" s="178" t="s">
        <v>844</v>
      </c>
    </row>
    <row r="28" spans="5:8">
      <c r="E28" s="175" t="s">
        <v>862</v>
      </c>
      <c r="F28" s="176" t="s">
        <v>784</v>
      </c>
      <c r="G28" s="177" t="s">
        <v>863</v>
      </c>
      <c r="H28" s="178" t="s">
        <v>864</v>
      </c>
    </row>
    <row r="29" spans="5:8">
      <c r="E29" s="175" t="s">
        <v>865</v>
      </c>
      <c r="F29" s="176" t="s">
        <v>804</v>
      </c>
      <c r="G29" s="177" t="s">
        <v>866</v>
      </c>
      <c r="H29" s="178" t="s">
        <v>867</v>
      </c>
    </row>
    <row r="30" spans="5:8">
      <c r="E30" s="175" t="s">
        <v>868</v>
      </c>
      <c r="F30" s="176" t="s">
        <v>784</v>
      </c>
      <c r="G30" s="177" t="s">
        <v>869</v>
      </c>
      <c r="H30" s="178" t="s">
        <v>870</v>
      </c>
    </row>
    <row r="31" spans="5:8">
      <c r="E31" s="175" t="s">
        <v>871</v>
      </c>
      <c r="F31" s="176" t="s">
        <v>801</v>
      </c>
      <c r="G31" s="177" t="s">
        <v>802</v>
      </c>
      <c r="H31" s="178" t="s">
        <v>802</v>
      </c>
    </row>
    <row r="32" spans="5:8">
      <c r="E32" s="175" t="s">
        <v>872</v>
      </c>
      <c r="F32" s="176" t="s">
        <v>873</v>
      </c>
      <c r="G32" s="177" t="s">
        <v>874</v>
      </c>
      <c r="H32" s="178" t="s">
        <v>874</v>
      </c>
    </row>
    <row r="33" spans="5:8">
      <c r="E33" s="175" t="s">
        <v>875</v>
      </c>
      <c r="F33" s="176" t="s">
        <v>876</v>
      </c>
      <c r="G33" s="177" t="s">
        <v>877</v>
      </c>
      <c r="H33" s="178" t="s">
        <v>877</v>
      </c>
    </row>
    <row r="34" spans="5:8">
      <c r="E34" s="175" t="s">
        <v>878</v>
      </c>
      <c r="F34" s="176" t="s">
        <v>804</v>
      </c>
      <c r="G34" s="177" t="s">
        <v>879</v>
      </c>
      <c r="H34" s="178" t="s">
        <v>806</v>
      </c>
    </row>
    <row r="35" spans="5:8">
      <c r="E35" s="175" t="s">
        <v>880</v>
      </c>
      <c r="F35" s="176" t="s">
        <v>804</v>
      </c>
      <c r="G35" s="177" t="s">
        <v>866</v>
      </c>
      <c r="H35" s="178" t="s">
        <v>867</v>
      </c>
    </row>
    <row r="36" spans="5:8">
      <c r="E36" s="175" t="s">
        <v>881</v>
      </c>
      <c r="F36" s="176" t="s">
        <v>808</v>
      </c>
      <c r="G36" s="177" t="s">
        <v>882</v>
      </c>
      <c r="H36" s="178" t="s">
        <v>882</v>
      </c>
    </row>
    <row r="37" spans="5:8">
      <c r="E37" s="175" t="s">
        <v>883</v>
      </c>
      <c r="F37" s="176" t="s">
        <v>876</v>
      </c>
      <c r="G37" s="177" t="s">
        <v>884</v>
      </c>
      <c r="H37" s="178" t="s">
        <v>877</v>
      </c>
    </row>
    <row r="38" spans="5:8">
      <c r="E38" s="175" t="s">
        <v>885</v>
      </c>
      <c r="F38" s="176" t="s">
        <v>846</v>
      </c>
      <c r="G38" s="177" t="s">
        <v>847</v>
      </c>
      <c r="H38" s="178" t="s">
        <v>848</v>
      </c>
    </row>
    <row r="39" spans="5:8">
      <c r="E39" s="175" t="s">
        <v>886</v>
      </c>
      <c r="F39" s="176" t="s">
        <v>831</v>
      </c>
      <c r="G39" s="177" t="s">
        <v>887</v>
      </c>
      <c r="H39" s="178" t="s">
        <v>888</v>
      </c>
    </row>
    <row r="40" spans="5:8">
      <c r="E40" s="175" t="s">
        <v>889</v>
      </c>
      <c r="F40" s="176" t="s">
        <v>890</v>
      </c>
      <c r="G40" s="177" t="s">
        <v>891</v>
      </c>
      <c r="H40" s="178" t="s">
        <v>892</v>
      </c>
    </row>
    <row r="41" spans="5:8">
      <c r="E41" s="175" t="s">
        <v>893</v>
      </c>
      <c r="F41" s="176" t="s">
        <v>894</v>
      </c>
      <c r="G41" s="177" t="s">
        <v>895</v>
      </c>
      <c r="H41" s="178" t="s">
        <v>896</v>
      </c>
    </row>
    <row r="42" spans="5:8">
      <c r="E42" s="175" t="s">
        <v>897</v>
      </c>
      <c r="F42" s="176" t="s">
        <v>804</v>
      </c>
      <c r="G42" s="177" t="s">
        <v>898</v>
      </c>
      <c r="H42" s="178" t="s">
        <v>898</v>
      </c>
    </row>
    <row r="43" spans="5:8">
      <c r="E43" s="175" t="s">
        <v>899</v>
      </c>
      <c r="F43" s="176" t="s">
        <v>900</v>
      </c>
      <c r="G43" s="177" t="s">
        <v>901</v>
      </c>
      <c r="H43" s="178" t="s">
        <v>902</v>
      </c>
    </row>
    <row r="44" spans="5:8">
      <c r="E44" s="175" t="s">
        <v>903</v>
      </c>
      <c r="F44" s="176" t="s">
        <v>839</v>
      </c>
      <c r="G44" s="177" t="s">
        <v>904</v>
      </c>
      <c r="H44" s="178" t="s">
        <v>841</v>
      </c>
    </row>
    <row r="45" spans="5:8">
      <c r="E45" s="175" t="s">
        <v>905</v>
      </c>
      <c r="F45" s="176" t="s">
        <v>906</v>
      </c>
      <c r="G45" s="177" t="s">
        <v>907</v>
      </c>
      <c r="H45" s="178" t="s">
        <v>908</v>
      </c>
    </row>
    <row r="46" spans="5:8">
      <c r="E46" s="175" t="s">
        <v>909</v>
      </c>
      <c r="F46" s="176" t="s">
        <v>910</v>
      </c>
      <c r="G46" s="177" t="s">
        <v>911</v>
      </c>
      <c r="H46" s="178" t="s">
        <v>911</v>
      </c>
    </row>
    <row r="47" spans="5:8">
      <c r="E47" s="175" t="s">
        <v>912</v>
      </c>
      <c r="F47" s="176" t="s">
        <v>839</v>
      </c>
      <c r="G47" s="177" t="s">
        <v>913</v>
      </c>
      <c r="H47" s="178" t="s">
        <v>841</v>
      </c>
    </row>
    <row r="48" spans="5:8">
      <c r="E48" s="175" t="s">
        <v>914</v>
      </c>
      <c r="F48" s="176" t="s">
        <v>890</v>
      </c>
      <c r="G48" s="177" t="s">
        <v>891</v>
      </c>
      <c r="H48" s="178" t="s">
        <v>892</v>
      </c>
    </row>
    <row r="49" spans="5:8">
      <c r="E49" s="175" t="s">
        <v>915</v>
      </c>
      <c r="F49" s="176" t="s">
        <v>916</v>
      </c>
      <c r="G49" s="177" t="s">
        <v>917</v>
      </c>
      <c r="H49" s="178" t="s">
        <v>918</v>
      </c>
    </row>
    <row r="50" spans="5:8">
      <c r="E50" s="175" t="s">
        <v>919</v>
      </c>
      <c r="F50" s="176" t="s">
        <v>808</v>
      </c>
      <c r="G50" s="177" t="s">
        <v>920</v>
      </c>
      <c r="H50" s="178" t="s">
        <v>921</v>
      </c>
    </row>
    <row r="51" spans="5:8">
      <c r="E51" s="175" t="s">
        <v>922</v>
      </c>
      <c r="F51" s="176" t="s">
        <v>808</v>
      </c>
      <c r="G51" s="177" t="s">
        <v>923</v>
      </c>
      <c r="H51" s="178" t="s">
        <v>810</v>
      </c>
    </row>
    <row r="52" spans="5:8">
      <c r="E52" s="175" t="s">
        <v>924</v>
      </c>
      <c r="F52" s="176" t="s">
        <v>925</v>
      </c>
      <c r="G52" s="177" t="s">
        <v>926</v>
      </c>
      <c r="H52" s="178" t="s">
        <v>926</v>
      </c>
    </row>
    <row r="53" spans="5:8">
      <c r="E53" s="175" t="s">
        <v>927</v>
      </c>
      <c r="F53" s="176" t="s">
        <v>928</v>
      </c>
      <c r="G53" s="177" t="s">
        <v>929</v>
      </c>
      <c r="H53" s="178" t="s">
        <v>929</v>
      </c>
    </row>
    <row r="54" spans="5:8">
      <c r="E54" s="175" t="s">
        <v>930</v>
      </c>
      <c r="F54" s="176" t="s">
        <v>804</v>
      </c>
      <c r="G54" s="177" t="s">
        <v>931</v>
      </c>
      <c r="H54" s="178" t="s">
        <v>806</v>
      </c>
    </row>
    <row r="55" spans="5:8">
      <c r="E55" s="175" t="s">
        <v>932</v>
      </c>
      <c r="F55" s="176" t="s">
        <v>910</v>
      </c>
      <c r="G55" s="177" t="s">
        <v>933</v>
      </c>
      <c r="H55" s="178" t="s">
        <v>933</v>
      </c>
    </row>
    <row r="56" spans="5:8">
      <c r="E56" s="175" t="s">
        <v>934</v>
      </c>
      <c r="F56" s="176" t="s">
        <v>935</v>
      </c>
      <c r="G56" s="177" t="s">
        <v>936</v>
      </c>
      <c r="H56" s="178" t="s">
        <v>892</v>
      </c>
    </row>
    <row r="57" spans="5:8">
      <c r="E57" s="175" t="s">
        <v>937</v>
      </c>
      <c r="F57" s="176" t="s">
        <v>839</v>
      </c>
      <c r="G57" s="177" t="s">
        <v>938</v>
      </c>
      <c r="H57" s="178" t="s">
        <v>939</v>
      </c>
    </row>
    <row r="58" spans="5:8">
      <c r="E58" s="175" t="s">
        <v>940</v>
      </c>
      <c r="F58" s="176" t="s">
        <v>928</v>
      </c>
      <c r="G58" s="177" t="s">
        <v>941</v>
      </c>
      <c r="H58" s="178" t="s">
        <v>941</v>
      </c>
    </row>
    <row r="59" spans="5:8">
      <c r="E59" s="175" t="s">
        <v>942</v>
      </c>
      <c r="F59" s="176" t="s">
        <v>943</v>
      </c>
      <c r="G59" s="177" t="s">
        <v>944</v>
      </c>
      <c r="H59" s="178" t="s">
        <v>898</v>
      </c>
    </row>
    <row r="60" spans="5:8">
      <c r="E60" s="175" t="s">
        <v>945</v>
      </c>
      <c r="F60" s="176" t="s">
        <v>910</v>
      </c>
      <c r="G60" s="177" t="s">
        <v>946</v>
      </c>
      <c r="H60" s="178" t="s">
        <v>848</v>
      </c>
    </row>
    <row r="61" spans="5:8">
      <c r="E61" s="175" t="s">
        <v>947</v>
      </c>
      <c r="F61" s="176" t="s">
        <v>831</v>
      </c>
      <c r="G61" s="177" t="s">
        <v>832</v>
      </c>
      <c r="H61" s="178" t="s">
        <v>833</v>
      </c>
    </row>
    <row r="62" spans="5:8">
      <c r="E62" s="175" t="s">
        <v>948</v>
      </c>
      <c r="F62" s="176" t="s">
        <v>816</v>
      </c>
      <c r="G62" s="177" t="s">
        <v>949</v>
      </c>
      <c r="H62" s="178" t="s">
        <v>949</v>
      </c>
    </row>
    <row r="63" spans="5:8">
      <c r="E63" s="175" t="s">
        <v>950</v>
      </c>
      <c r="F63" s="176" t="s">
        <v>835</v>
      </c>
      <c r="G63" s="177" t="s">
        <v>951</v>
      </c>
      <c r="H63" s="178" t="s">
        <v>952</v>
      </c>
    </row>
    <row r="64" spans="5:8">
      <c r="E64" s="175" t="s">
        <v>953</v>
      </c>
      <c r="F64" s="176" t="s">
        <v>954</v>
      </c>
      <c r="G64" s="177" t="s">
        <v>955</v>
      </c>
      <c r="H64" s="178" t="s">
        <v>955</v>
      </c>
    </row>
    <row r="65" spans="5:8">
      <c r="E65" s="175" t="s">
        <v>956</v>
      </c>
      <c r="F65" s="176" t="s">
        <v>808</v>
      </c>
      <c r="G65" s="177" t="s">
        <v>809</v>
      </c>
      <c r="H65" s="178" t="s">
        <v>809</v>
      </c>
    </row>
    <row r="66" spans="5:8">
      <c r="E66" s="175" t="s">
        <v>957</v>
      </c>
      <c r="F66" s="176" t="s">
        <v>958</v>
      </c>
      <c r="G66" s="177" t="s">
        <v>959</v>
      </c>
      <c r="H66" s="178" t="s">
        <v>960</v>
      </c>
    </row>
    <row r="67" spans="5:8">
      <c r="E67" s="175" t="s">
        <v>961</v>
      </c>
      <c r="F67" s="176" t="s">
        <v>962</v>
      </c>
      <c r="G67" s="177" t="s">
        <v>963</v>
      </c>
      <c r="H67" s="178" t="s">
        <v>964</v>
      </c>
    </row>
    <row r="68" spans="5:8">
      <c r="E68" s="175" t="s">
        <v>965</v>
      </c>
      <c r="F68" s="176" t="s">
        <v>839</v>
      </c>
      <c r="G68" s="177" t="s">
        <v>966</v>
      </c>
      <c r="H68" s="178" t="s">
        <v>841</v>
      </c>
    </row>
    <row r="69" spans="5:8">
      <c r="E69" s="175" t="s">
        <v>967</v>
      </c>
      <c r="F69" s="176" t="s">
        <v>808</v>
      </c>
      <c r="G69" s="177" t="s">
        <v>920</v>
      </c>
      <c r="H69" s="178" t="s">
        <v>968</v>
      </c>
    </row>
    <row r="70" spans="5:8">
      <c r="E70" s="175" t="s">
        <v>969</v>
      </c>
      <c r="F70" s="176" t="s">
        <v>792</v>
      </c>
      <c r="G70" s="177" t="s">
        <v>970</v>
      </c>
      <c r="H70" s="178" t="s">
        <v>971</v>
      </c>
    </row>
    <row r="71" spans="5:8">
      <c r="E71" s="175" t="s">
        <v>972</v>
      </c>
      <c r="F71" s="176" t="s">
        <v>935</v>
      </c>
      <c r="G71" s="177" t="s">
        <v>973</v>
      </c>
      <c r="H71" s="178" t="s">
        <v>892</v>
      </c>
    </row>
    <row r="72" spans="5:8">
      <c r="E72" s="175" t="s">
        <v>974</v>
      </c>
      <c r="F72" s="176" t="s">
        <v>792</v>
      </c>
      <c r="G72" s="177" t="s">
        <v>975</v>
      </c>
      <c r="H72" s="178" t="s">
        <v>976</v>
      </c>
    </row>
    <row r="73" spans="5:8">
      <c r="E73" s="175" t="s">
        <v>977</v>
      </c>
      <c r="F73" s="176" t="s">
        <v>978</v>
      </c>
      <c r="G73" s="177" t="s">
        <v>979</v>
      </c>
      <c r="H73" s="178" t="s">
        <v>980</v>
      </c>
    </row>
    <row r="74" spans="5:8">
      <c r="E74" s="175" t="s">
        <v>981</v>
      </c>
      <c r="F74" s="176" t="s">
        <v>982</v>
      </c>
      <c r="G74" s="177" t="s">
        <v>983</v>
      </c>
      <c r="H74" s="178" t="s">
        <v>983</v>
      </c>
    </row>
    <row r="75" spans="5:8">
      <c r="E75" s="175" t="s">
        <v>984</v>
      </c>
      <c r="F75" s="176" t="s">
        <v>985</v>
      </c>
      <c r="G75" s="177" t="s">
        <v>986</v>
      </c>
      <c r="H75" s="178" t="s">
        <v>987</v>
      </c>
    </row>
    <row r="76" spans="5:8">
      <c r="E76" s="175" t="s">
        <v>988</v>
      </c>
      <c r="F76" s="176" t="s">
        <v>846</v>
      </c>
      <c r="G76" s="177" t="s">
        <v>989</v>
      </c>
      <c r="H76" s="178" t="s">
        <v>990</v>
      </c>
    </row>
    <row r="77" spans="5:8">
      <c r="E77" s="175" t="s">
        <v>991</v>
      </c>
      <c r="F77" s="176" t="s">
        <v>890</v>
      </c>
      <c r="G77" s="177" t="s">
        <v>891</v>
      </c>
      <c r="H77" s="178" t="s">
        <v>891</v>
      </c>
    </row>
    <row r="78" spans="5:8">
      <c r="E78" s="175" t="s">
        <v>992</v>
      </c>
      <c r="F78" s="176" t="s">
        <v>993</v>
      </c>
      <c r="G78" s="177" t="s">
        <v>994</v>
      </c>
      <c r="H78" s="178" t="s">
        <v>995</v>
      </c>
    </row>
    <row r="79" spans="5:8">
      <c r="E79" s="175" t="s">
        <v>996</v>
      </c>
      <c r="F79" s="176" t="s">
        <v>808</v>
      </c>
      <c r="G79" s="177" t="s">
        <v>997</v>
      </c>
      <c r="H79" s="178" t="s">
        <v>810</v>
      </c>
    </row>
    <row r="80" spans="5:8">
      <c r="E80" s="175" t="s">
        <v>998</v>
      </c>
      <c r="F80" s="176" t="s">
        <v>835</v>
      </c>
      <c r="G80" s="177" t="s">
        <v>999</v>
      </c>
      <c r="H80" s="178" t="s">
        <v>999</v>
      </c>
    </row>
    <row r="81" spans="5:8">
      <c r="E81" s="175" t="s">
        <v>1000</v>
      </c>
      <c r="F81" s="176" t="s">
        <v>808</v>
      </c>
      <c r="G81" s="177" t="s">
        <v>1001</v>
      </c>
      <c r="H81" s="178" t="s">
        <v>809</v>
      </c>
    </row>
    <row r="82" spans="5:8">
      <c r="E82" s="175" t="s">
        <v>1002</v>
      </c>
      <c r="F82" s="176" t="s">
        <v>985</v>
      </c>
      <c r="G82" s="177" t="s">
        <v>1003</v>
      </c>
      <c r="H82" s="178" t="s">
        <v>1004</v>
      </c>
    </row>
    <row r="83" spans="5:8">
      <c r="E83" s="175" t="s">
        <v>1005</v>
      </c>
      <c r="F83" s="176" t="s">
        <v>804</v>
      </c>
      <c r="G83" s="177" t="s">
        <v>1006</v>
      </c>
      <c r="H83" s="178" t="s">
        <v>1007</v>
      </c>
    </row>
    <row r="84" spans="5:8">
      <c r="E84" s="175" t="s">
        <v>1008</v>
      </c>
      <c r="F84" s="176" t="s">
        <v>808</v>
      </c>
      <c r="G84" s="177" t="s">
        <v>854</v>
      </c>
      <c r="H84" s="178" t="s">
        <v>854</v>
      </c>
    </row>
    <row r="85" spans="5:8">
      <c r="E85" s="175" t="s">
        <v>1009</v>
      </c>
      <c r="F85" s="176" t="s">
        <v>808</v>
      </c>
      <c r="G85" s="177" t="s">
        <v>809</v>
      </c>
      <c r="H85" s="178" t="s">
        <v>809</v>
      </c>
    </row>
    <row r="86" spans="5:8">
      <c r="E86" s="175" t="s">
        <v>1010</v>
      </c>
      <c r="F86" s="176" t="s">
        <v>808</v>
      </c>
      <c r="G86" s="177" t="s">
        <v>809</v>
      </c>
      <c r="H86" s="178" t="s">
        <v>809</v>
      </c>
    </row>
    <row r="87" spans="5:8">
      <c r="E87" s="175" t="s">
        <v>1011</v>
      </c>
      <c r="F87" s="176" t="s">
        <v>1012</v>
      </c>
      <c r="G87" s="177" t="s">
        <v>1013</v>
      </c>
      <c r="H87" s="178" t="s">
        <v>749</v>
      </c>
    </row>
    <row r="88" spans="5:8">
      <c r="E88" s="175" t="s">
        <v>1014</v>
      </c>
      <c r="F88" s="176" t="s">
        <v>1015</v>
      </c>
      <c r="G88" s="177" t="s">
        <v>1016</v>
      </c>
      <c r="H88" s="178" t="s">
        <v>1017</v>
      </c>
    </row>
    <row r="89" spans="5:8">
      <c r="E89" s="175" t="s">
        <v>1018</v>
      </c>
      <c r="F89" s="176" t="s">
        <v>827</v>
      </c>
      <c r="G89" s="177" t="s">
        <v>1019</v>
      </c>
      <c r="H89" s="178" t="s">
        <v>1020</v>
      </c>
    </row>
    <row r="90" spans="5:8">
      <c r="E90" s="175" t="s">
        <v>1021</v>
      </c>
      <c r="F90" s="176" t="s">
        <v>906</v>
      </c>
      <c r="G90" s="177" t="s">
        <v>1022</v>
      </c>
      <c r="H90" s="178" t="s">
        <v>908</v>
      </c>
    </row>
    <row r="91" spans="5:8">
      <c r="E91" s="175" t="s">
        <v>1023</v>
      </c>
      <c r="F91" s="176" t="s">
        <v>943</v>
      </c>
      <c r="G91" s="177" t="s">
        <v>944</v>
      </c>
      <c r="H91" s="178" t="s">
        <v>944</v>
      </c>
    </row>
    <row r="92" spans="5:8">
      <c r="E92" s="175" t="s">
        <v>1024</v>
      </c>
      <c r="F92" s="176" t="s">
        <v>839</v>
      </c>
      <c r="G92" s="177" t="s">
        <v>1025</v>
      </c>
      <c r="H92" s="178" t="s">
        <v>841</v>
      </c>
    </row>
    <row r="93" spans="5:8">
      <c r="E93" s="175" t="s">
        <v>1026</v>
      </c>
      <c r="F93" s="176" t="s">
        <v>808</v>
      </c>
      <c r="G93" s="177" t="s">
        <v>882</v>
      </c>
      <c r="H93" s="178" t="s">
        <v>882</v>
      </c>
    </row>
    <row r="94" spans="5:8">
      <c r="E94" s="175" t="s">
        <v>1027</v>
      </c>
      <c r="F94" s="176" t="s">
        <v>835</v>
      </c>
      <c r="G94" s="177" t="s">
        <v>1028</v>
      </c>
      <c r="H94" s="178" t="s">
        <v>1028</v>
      </c>
    </row>
    <row r="95" spans="5:8">
      <c r="E95" s="175" t="s">
        <v>1029</v>
      </c>
      <c r="F95" s="176" t="s">
        <v>839</v>
      </c>
      <c r="G95" s="177" t="s">
        <v>1030</v>
      </c>
      <c r="H95" s="178" t="s">
        <v>841</v>
      </c>
    </row>
    <row r="96" spans="5:8">
      <c r="E96" s="175" t="s">
        <v>1031</v>
      </c>
      <c r="F96" s="176" t="s">
        <v>784</v>
      </c>
      <c r="G96" s="177" t="s">
        <v>1032</v>
      </c>
      <c r="H96" s="178" t="s">
        <v>1033</v>
      </c>
    </row>
    <row r="97" spans="5:8">
      <c r="E97" s="175" t="s">
        <v>1034</v>
      </c>
      <c r="F97" s="176" t="s">
        <v>935</v>
      </c>
      <c r="G97" s="177" t="s">
        <v>1035</v>
      </c>
      <c r="H97" s="178" t="s">
        <v>892</v>
      </c>
    </row>
    <row r="98" spans="5:8">
      <c r="E98" s="175" t="s">
        <v>1036</v>
      </c>
      <c r="F98" s="176" t="s">
        <v>958</v>
      </c>
      <c r="G98" s="177" t="s">
        <v>1037</v>
      </c>
      <c r="H98" s="178" t="s">
        <v>960</v>
      </c>
    </row>
    <row r="99" spans="5:8">
      <c r="E99" s="175" t="s">
        <v>1038</v>
      </c>
      <c r="F99" s="176" t="s">
        <v>993</v>
      </c>
      <c r="G99" s="177" t="s">
        <v>994</v>
      </c>
      <c r="H99" s="178" t="s">
        <v>1039</v>
      </c>
    </row>
    <row r="100" spans="5:8">
      <c r="E100" s="175" t="s">
        <v>1040</v>
      </c>
      <c r="F100" s="176" t="s">
        <v>1041</v>
      </c>
      <c r="G100" s="177" t="s">
        <v>1042</v>
      </c>
      <c r="H100" s="178" t="s">
        <v>1043</v>
      </c>
    </row>
    <row r="101" spans="5:8">
      <c r="E101" s="175" t="s">
        <v>1044</v>
      </c>
      <c r="F101" s="176" t="s">
        <v>1045</v>
      </c>
      <c r="G101" s="177" t="s">
        <v>1046</v>
      </c>
      <c r="H101" s="178" t="s">
        <v>1047</v>
      </c>
    </row>
    <row r="102" spans="5:8">
      <c r="E102" s="175" t="s">
        <v>1048</v>
      </c>
      <c r="F102" s="176" t="s">
        <v>846</v>
      </c>
      <c r="G102" s="177" t="s">
        <v>847</v>
      </c>
      <c r="H102" s="178" t="s">
        <v>848</v>
      </c>
    </row>
    <row r="103" spans="5:8" ht="15" thickBot="1">
      <c r="E103" s="179" t="s">
        <v>1049</v>
      </c>
      <c r="F103" s="180" t="s">
        <v>827</v>
      </c>
      <c r="G103" s="181" t="s">
        <v>1050</v>
      </c>
      <c r="H103" s="182" t="s">
        <v>828</v>
      </c>
    </row>
    <row r="105" spans="5:8">
      <c r="E105" s="214" t="s">
        <v>6</v>
      </c>
    </row>
  </sheetData>
  <sheetProtection algorithmName="SHA-512" hashValue="VuyEltVmq8m1wfi2cZRq2DuKh0qZIDCot2nCbEsy7rwRtBOnmaGuj7mx1ICAqIeVrGOAWg4YA12tKHzEm2KAmQ==" saltValue="JdbqkAkW9TIcXsRXlS0kjA==" spinCount="100000" sheet="1" objects="1" scenarios="1"/>
  <sortState xmlns:xlrd2="http://schemas.microsoft.com/office/spreadsheetml/2017/richdata2" ref="E4:H103">
    <sortCondition ref="E4"/>
  </sortState>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N356"/>
  <sheetViews>
    <sheetView topLeftCell="C241" zoomScale="96" workbookViewId="0">
      <selection activeCell="O265" sqref="O265"/>
    </sheetView>
  </sheetViews>
  <sheetFormatPr defaultColWidth="8.81640625" defaultRowHeight="14.5"/>
  <cols>
    <col min="1" max="1" width="29.453125" customWidth="1"/>
    <col min="2" max="2" width="41.81640625" bestFit="1" customWidth="1"/>
    <col min="3" max="3" width="27.81640625" customWidth="1"/>
    <col min="4" max="4" width="24.1796875" customWidth="1"/>
    <col min="5" max="5" width="18.1796875" customWidth="1"/>
    <col min="6" max="6" width="18.453125" bestFit="1" customWidth="1"/>
    <col min="7" max="7" width="14.1796875" bestFit="1" customWidth="1"/>
    <col min="14" max="14" width="14" customWidth="1"/>
    <col min="15" max="15" width="22.453125" bestFit="1" customWidth="1"/>
  </cols>
  <sheetData>
    <row r="1" spans="1:7" ht="21">
      <c r="A1" s="7" t="s">
        <v>1051</v>
      </c>
    </row>
    <row r="3" spans="1:7">
      <c r="A3" t="s">
        <v>1052</v>
      </c>
      <c r="B3" t="s">
        <v>1053</v>
      </c>
      <c r="C3" t="s">
        <v>1054</v>
      </c>
    </row>
    <row r="4" spans="1:7">
      <c r="A4" t="s">
        <v>1055</v>
      </c>
      <c r="B4" t="s">
        <v>1053</v>
      </c>
      <c r="C4" t="s">
        <v>1056</v>
      </c>
      <c r="D4" t="s">
        <v>1057</v>
      </c>
    </row>
    <row r="7" spans="1:7" ht="21">
      <c r="A7" s="7" t="s">
        <v>1058</v>
      </c>
      <c r="C7" t="s">
        <v>1059</v>
      </c>
    </row>
    <row r="8" spans="1:7">
      <c r="A8" t="s">
        <v>1060</v>
      </c>
      <c r="B8" s="114" t="e">
        <f ca="1">CELL("address",INDEX('GHG per capita data'!C2:AG4,2,MATCH('Local government operations'!E16,'GHG per capita data'!C2:AG2,0)))</f>
        <v>#N/A</v>
      </c>
      <c r="C8" s="114" t="e">
        <f ca="1">CELL("address",INDEX('GHG per capita data'!C2:AG4,2,MATCH('Local government operations'!E18,'GHG per capita data'!C2:AG2,0)))</f>
        <v>#N/A</v>
      </c>
      <c r="D8" s="114" t="e">
        <f ca="1">CELL("address",INDEX('GHG per capita data'!C2:AG4,1,MATCH('Local government operations'!E16,'GHG per capita data'!C2:AG2,0)))</f>
        <v>#N/A</v>
      </c>
      <c r="E8" s="114" t="e">
        <f ca="1">CELL("address",INDEX('GHG per capita data'!C2:AG4,1,MATCH('Local government operations'!E18,'GHG per capita data'!C2:AG2,0)))</f>
        <v>#N/A</v>
      </c>
      <c r="F8" t="e">
        <f ca="1">SLOPE(INDIRECT(B8):INDIRECT(C8),INDIRECT(D8):INDIRECT(E8))</f>
        <v>#N/A</v>
      </c>
      <c r="G8" t="e">
        <f ca="1">F8/INDIRECT(B8)</f>
        <v>#N/A</v>
      </c>
    </row>
    <row r="9" spans="1:7">
      <c r="B9" t="s">
        <v>1061</v>
      </c>
    </row>
    <row r="10" spans="1:7">
      <c r="A10" t="s">
        <v>1062</v>
      </c>
      <c r="B10" t="s">
        <v>1063</v>
      </c>
      <c r="C10" t="s">
        <v>1064</v>
      </c>
      <c r="D10" t="s">
        <v>1065</v>
      </c>
    </row>
    <row r="11" spans="1:7">
      <c r="B11" t="s">
        <v>1066</v>
      </c>
      <c r="C11" t="s">
        <v>1067</v>
      </c>
      <c r="D11" t="s">
        <v>1068</v>
      </c>
      <c r="E11" t="s">
        <v>1069</v>
      </c>
    </row>
    <row r="12" spans="1:7">
      <c r="B12" t="s">
        <v>1070</v>
      </c>
      <c r="C12" t="s">
        <v>1071</v>
      </c>
      <c r="D12" t="s">
        <v>1072</v>
      </c>
    </row>
    <row r="13" spans="1:7">
      <c r="B13" t="s">
        <v>1073</v>
      </c>
      <c r="C13" t="s">
        <v>1074</v>
      </c>
      <c r="D13" t="s">
        <v>1075</v>
      </c>
    </row>
    <row r="14" spans="1:7">
      <c r="B14" t="s">
        <v>1076</v>
      </c>
      <c r="C14" t="s">
        <v>1077</v>
      </c>
      <c r="D14" t="s">
        <v>1078</v>
      </c>
      <c r="E14" t="s">
        <v>1079</v>
      </c>
      <c r="F14" t="s">
        <v>1080</v>
      </c>
    </row>
    <row r="15" spans="1:7">
      <c r="B15" t="s">
        <v>1081</v>
      </c>
      <c r="C15" t="s">
        <v>1082</v>
      </c>
      <c r="D15" t="s">
        <v>1083</v>
      </c>
    </row>
    <row r="16" spans="1:7">
      <c r="B16" t="s">
        <v>1084</v>
      </c>
      <c r="C16" t="s">
        <v>1085</v>
      </c>
      <c r="D16" t="s">
        <v>1086</v>
      </c>
    </row>
    <row r="18" spans="1:6">
      <c r="A18" t="s">
        <v>1087</v>
      </c>
      <c r="B18" t="s">
        <v>1088</v>
      </c>
      <c r="C18" t="s">
        <v>1089</v>
      </c>
      <c r="D18" t="s">
        <v>1090</v>
      </c>
      <c r="E18" t="s">
        <v>1091</v>
      </c>
    </row>
    <row r="19" spans="1:6">
      <c r="B19" t="s">
        <v>1092</v>
      </c>
      <c r="C19" t="s">
        <v>1077</v>
      </c>
      <c r="D19" t="s">
        <v>1078</v>
      </c>
      <c r="E19" t="s">
        <v>1079</v>
      </c>
      <c r="F19" t="s">
        <v>1080</v>
      </c>
    </row>
    <row r="20" spans="1:6">
      <c r="B20" t="s">
        <v>1093</v>
      </c>
      <c r="C20" t="s">
        <v>1094</v>
      </c>
      <c r="D20" t="s">
        <v>1095</v>
      </c>
    </row>
    <row r="22" spans="1:6">
      <c r="A22" t="s">
        <v>1096</v>
      </c>
      <c r="B22" t="s">
        <v>1097</v>
      </c>
      <c r="C22" t="s">
        <v>1098</v>
      </c>
      <c r="D22" t="s">
        <v>1099</v>
      </c>
      <c r="E22" t="s">
        <v>1100</v>
      </c>
      <c r="F22" t="s">
        <v>1101</v>
      </c>
    </row>
    <row r="23" spans="1:6">
      <c r="B23" t="s">
        <v>1102</v>
      </c>
      <c r="C23" t="s">
        <v>1103</v>
      </c>
      <c r="D23" t="s">
        <v>1104</v>
      </c>
      <c r="E23" t="s">
        <v>1105</v>
      </c>
    </row>
    <row r="24" spans="1:6">
      <c r="B24" t="s">
        <v>1106</v>
      </c>
      <c r="C24" t="s">
        <v>1107</v>
      </c>
      <c r="D24" t="s">
        <v>1108</v>
      </c>
    </row>
    <row r="25" spans="1:6">
      <c r="B25" t="s">
        <v>1109</v>
      </c>
      <c r="C25" t="s">
        <v>1110</v>
      </c>
      <c r="D25" t="s">
        <v>1111</v>
      </c>
      <c r="E25" t="s">
        <v>1112</v>
      </c>
    </row>
    <row r="26" spans="1:6">
      <c r="B26" t="s">
        <v>1113</v>
      </c>
      <c r="C26" t="s">
        <v>1114</v>
      </c>
      <c r="D26" t="s">
        <v>1115</v>
      </c>
    </row>
    <row r="27" spans="1:6">
      <c r="B27" t="s">
        <v>1116</v>
      </c>
      <c r="C27" t="s">
        <v>1117</v>
      </c>
      <c r="D27" t="s">
        <v>1118</v>
      </c>
    </row>
    <row r="28" spans="1:6">
      <c r="B28" t="s">
        <v>1119</v>
      </c>
      <c r="C28" t="s">
        <v>1120</v>
      </c>
      <c r="D28" t="s">
        <v>1121</v>
      </c>
      <c r="E28" t="s">
        <v>1122</v>
      </c>
    </row>
    <row r="29" spans="1:6">
      <c r="B29" t="s">
        <v>1123</v>
      </c>
      <c r="C29" t="s">
        <v>1124</v>
      </c>
      <c r="D29" t="s">
        <v>1125</v>
      </c>
      <c r="E29" t="s">
        <v>1126</v>
      </c>
    </row>
    <row r="30" spans="1:6">
      <c r="B30" t="s">
        <v>1127</v>
      </c>
      <c r="C30" t="s">
        <v>1128</v>
      </c>
      <c r="D30" t="s">
        <v>1129</v>
      </c>
      <c r="E30" t="s">
        <v>1130</v>
      </c>
      <c r="F30" t="s">
        <v>1131</v>
      </c>
    </row>
    <row r="31" spans="1:6">
      <c r="B31" t="s">
        <v>1132</v>
      </c>
      <c r="C31" t="s">
        <v>1133</v>
      </c>
      <c r="D31" t="s">
        <v>1134</v>
      </c>
      <c r="E31" t="s">
        <v>1135</v>
      </c>
      <c r="F31" t="s">
        <v>1136</v>
      </c>
    </row>
    <row r="32" spans="1:6">
      <c r="B32" t="s">
        <v>1137</v>
      </c>
      <c r="C32" t="s">
        <v>1138</v>
      </c>
      <c r="D32" t="s">
        <v>1139</v>
      </c>
    </row>
    <row r="35" spans="1:7">
      <c r="C35" t="s">
        <v>1140</v>
      </c>
    </row>
    <row r="36" spans="1:7" ht="21">
      <c r="A36" s="7" t="s">
        <v>1141</v>
      </c>
    </row>
    <row r="38" spans="1:7">
      <c r="A38" t="s">
        <v>1142</v>
      </c>
      <c r="B38" s="114" t="e">
        <f ca="1">CELL("address",INDEX('GHG per capita data'!C2:AG4,3,MATCH('Community-wide initiatives'!E14,'GHG per capita data'!C2:AG2,0)))</f>
        <v>#N/A</v>
      </c>
      <c r="C38" s="114" t="e">
        <f ca="1">CELL("address",INDEX('GHG per capita data'!C2:AG4,3,MATCH('Community-wide initiatives'!E16,'GHG per capita data'!C2:AG2,0)))</f>
        <v>#N/A</v>
      </c>
      <c r="D38" s="114" t="e">
        <f ca="1">CELL("address",INDEX('GHG per capita data'!C2:AG4,1,MATCH('Community-wide initiatives'!E14,'GHG per capita data'!C2:AG2,0)))</f>
        <v>#N/A</v>
      </c>
      <c r="E38" s="114" t="e">
        <f ca="1">CELL("address",INDEX('GHG per capita data'!C2:AG4,1,MATCH('Community-wide initiatives'!E16,'GHG per capita data'!C2:AG2,0)))</f>
        <v>#N/A</v>
      </c>
      <c r="F38" t="e">
        <f ca="1">SLOPE(INDIRECT(B38):INDIRECT(C38),INDIRECT(D38):INDIRECT(E38))</f>
        <v>#N/A</v>
      </c>
      <c r="G38" t="e">
        <f ca="1">F38/INDIRECT(B38)</f>
        <v>#N/A</v>
      </c>
    </row>
    <row r="39" spans="1:7">
      <c r="A39" t="s">
        <v>1062</v>
      </c>
      <c r="B39" t="s">
        <v>1063</v>
      </c>
    </row>
    <row r="40" spans="1:7">
      <c r="B40" t="s">
        <v>1066</v>
      </c>
      <c r="C40" t="s">
        <v>1143</v>
      </c>
      <c r="D40" t="s">
        <v>1144</v>
      </c>
    </row>
    <row r="41" spans="1:7" ht="15.75" customHeight="1"/>
    <row r="42" spans="1:7">
      <c r="A42" t="s">
        <v>1145</v>
      </c>
      <c r="B42" t="s">
        <v>1146</v>
      </c>
      <c r="C42" t="s">
        <v>1147</v>
      </c>
      <c r="D42" t="s">
        <v>1148</v>
      </c>
    </row>
    <row r="46" spans="1:7">
      <c r="A46" t="s">
        <v>1096</v>
      </c>
      <c r="B46" t="s">
        <v>1149</v>
      </c>
      <c r="C46" t="s">
        <v>1150</v>
      </c>
      <c r="D46" t="s">
        <v>1151</v>
      </c>
      <c r="E46" t="s">
        <v>1152</v>
      </c>
      <c r="F46" t="s">
        <v>1153</v>
      </c>
      <c r="G46" t="s">
        <v>1154</v>
      </c>
    </row>
    <row r="47" spans="1:7">
      <c r="B47" t="s">
        <v>1155</v>
      </c>
      <c r="C47" t="s">
        <v>1156</v>
      </c>
      <c r="D47" t="s">
        <v>1157</v>
      </c>
    </row>
    <row r="48" spans="1:7">
      <c r="B48" t="s">
        <v>1158</v>
      </c>
      <c r="C48" t="s">
        <v>1159</v>
      </c>
      <c r="D48" t="s">
        <v>1160</v>
      </c>
    </row>
    <row r="49" spans="1:8">
      <c r="B49" t="s">
        <v>1097</v>
      </c>
      <c r="C49" t="s">
        <v>1161</v>
      </c>
      <c r="D49" t="s">
        <v>1162</v>
      </c>
      <c r="E49" t="s">
        <v>1163</v>
      </c>
    </row>
    <row r="50" spans="1:8">
      <c r="B50" t="s">
        <v>1102</v>
      </c>
      <c r="C50" t="s">
        <v>1164</v>
      </c>
      <c r="D50" t="s">
        <v>1165</v>
      </c>
      <c r="E50" t="s">
        <v>1166</v>
      </c>
      <c r="F50" t="s">
        <v>1167</v>
      </c>
      <c r="G50" t="s">
        <v>1168</v>
      </c>
    </row>
    <row r="51" spans="1:8">
      <c r="B51" t="s">
        <v>1106</v>
      </c>
      <c r="C51" t="s">
        <v>1169</v>
      </c>
      <c r="D51" t="s">
        <v>1170</v>
      </c>
      <c r="E51" t="s">
        <v>1171</v>
      </c>
      <c r="F51" t="s">
        <v>1172</v>
      </c>
    </row>
    <row r="52" spans="1:8">
      <c r="B52" t="s">
        <v>1109</v>
      </c>
      <c r="C52" t="s">
        <v>1173</v>
      </c>
      <c r="D52" t="s">
        <v>1174</v>
      </c>
    </row>
    <row r="55" spans="1:8" ht="21">
      <c r="A55" s="7" t="s">
        <v>1175</v>
      </c>
    </row>
    <row r="56" spans="1:8">
      <c r="B56" s="1" t="s">
        <v>1176</v>
      </c>
    </row>
    <row r="57" spans="1:8">
      <c r="B57" s="1"/>
    </row>
    <row r="58" spans="1:8">
      <c r="A58" t="s">
        <v>1062</v>
      </c>
      <c r="B58" t="s">
        <v>1177</v>
      </c>
      <c r="C58" t="s">
        <v>1178</v>
      </c>
      <c r="D58" t="s">
        <v>1179</v>
      </c>
      <c r="E58" t="s">
        <v>1180</v>
      </c>
    </row>
    <row r="59" spans="1:8">
      <c r="B59" t="s">
        <v>1066</v>
      </c>
      <c r="C59" t="s">
        <v>1181</v>
      </c>
      <c r="D59" t="s">
        <v>1182</v>
      </c>
      <c r="E59" t="s">
        <v>1183</v>
      </c>
      <c r="F59" t="s">
        <v>1184</v>
      </c>
      <c r="G59" t="s">
        <v>1185</v>
      </c>
    </row>
    <row r="60" spans="1:8">
      <c r="B60" t="s">
        <v>1070</v>
      </c>
      <c r="C60" t="s">
        <v>1181</v>
      </c>
      <c r="D60" t="s">
        <v>1182</v>
      </c>
      <c r="E60" t="s">
        <v>1183</v>
      </c>
      <c r="F60" t="s">
        <v>1184</v>
      </c>
    </row>
    <row r="61" spans="1:8">
      <c r="B61" t="s">
        <v>1076</v>
      </c>
      <c r="C61" t="s">
        <v>1186</v>
      </c>
      <c r="D61" t="s">
        <v>1187</v>
      </c>
      <c r="E61" t="s">
        <v>1188</v>
      </c>
      <c r="F61" t="s">
        <v>1189</v>
      </c>
      <c r="G61" t="s">
        <v>1185</v>
      </c>
    </row>
    <row r="62" spans="1:8">
      <c r="B62" t="s">
        <v>1081</v>
      </c>
      <c r="C62" t="s">
        <v>1186</v>
      </c>
      <c r="D62" t="s">
        <v>1187</v>
      </c>
      <c r="E62" t="s">
        <v>1188</v>
      </c>
      <c r="F62" t="s">
        <v>1189</v>
      </c>
      <c r="G62" t="s">
        <v>1185</v>
      </c>
    </row>
    <row r="63" spans="1:8">
      <c r="B63" t="s">
        <v>1190</v>
      </c>
      <c r="C63" s="1" t="s">
        <v>1191</v>
      </c>
      <c r="D63" t="s">
        <v>1192</v>
      </c>
      <c r="E63" t="s">
        <v>1193</v>
      </c>
      <c r="F63" t="s">
        <v>1194</v>
      </c>
      <c r="G63" t="s">
        <v>1195</v>
      </c>
      <c r="H63" t="s">
        <v>1196</v>
      </c>
    </row>
    <row r="66" spans="1:7">
      <c r="B66" t="s">
        <v>1197</v>
      </c>
    </row>
    <row r="67" spans="1:7">
      <c r="B67" t="s">
        <v>1198</v>
      </c>
    </row>
    <row r="68" spans="1:7">
      <c r="A68" s="1" t="s">
        <v>1199</v>
      </c>
      <c r="D68" s="1" t="s">
        <v>1200</v>
      </c>
    </row>
    <row r="69" spans="1:7">
      <c r="A69" t="s">
        <v>1201</v>
      </c>
      <c r="B69">
        <v>2</v>
      </c>
      <c r="D69" t="s">
        <v>1202</v>
      </c>
      <c r="E69">
        <v>2</v>
      </c>
    </row>
    <row r="70" spans="1:7">
      <c r="A70" t="s">
        <v>1203</v>
      </c>
      <c r="B70">
        <v>1.5</v>
      </c>
      <c r="D70" t="s">
        <v>1203</v>
      </c>
      <c r="E70">
        <v>1.5</v>
      </c>
      <c r="G70" s="4"/>
    </row>
    <row r="71" spans="1:7">
      <c r="A71" t="s">
        <v>1204</v>
      </c>
      <c r="B71">
        <v>1</v>
      </c>
      <c r="D71" t="s">
        <v>1204</v>
      </c>
      <c r="E71">
        <v>1</v>
      </c>
    </row>
    <row r="72" spans="1:7">
      <c r="A72" t="s">
        <v>1205</v>
      </c>
      <c r="B72">
        <v>0.5</v>
      </c>
      <c r="D72" t="s">
        <v>1205</v>
      </c>
      <c r="E72">
        <v>0.5</v>
      </c>
    </row>
    <row r="73" spans="1:7">
      <c r="A73" t="s">
        <v>1206</v>
      </c>
      <c r="B73">
        <v>0</v>
      </c>
      <c r="D73" t="s">
        <v>1207</v>
      </c>
      <c r="E73">
        <v>0</v>
      </c>
    </row>
    <row r="75" spans="1:7">
      <c r="A75" s="1" t="s">
        <v>1208</v>
      </c>
    </row>
    <row r="76" spans="1:7">
      <c r="A76" t="s">
        <v>1181</v>
      </c>
      <c r="B76">
        <v>2</v>
      </c>
    </row>
    <row r="77" spans="1:7">
      <c r="A77" t="s">
        <v>1182</v>
      </c>
      <c r="B77">
        <v>1</v>
      </c>
    </row>
    <row r="78" spans="1:7">
      <c r="A78" t="s">
        <v>1183</v>
      </c>
      <c r="B78">
        <v>0</v>
      </c>
    </row>
    <row r="79" spans="1:7">
      <c r="A79" t="s">
        <v>1209</v>
      </c>
      <c r="B79">
        <v>0.5</v>
      </c>
    </row>
    <row r="80" spans="1:7">
      <c r="A80" t="s">
        <v>1185</v>
      </c>
      <c r="B80">
        <v>0</v>
      </c>
    </row>
    <row r="82" spans="1:5">
      <c r="A82" s="1" t="s">
        <v>1210</v>
      </c>
      <c r="D82" s="1" t="s">
        <v>1200</v>
      </c>
    </row>
    <row r="83" spans="1:5">
      <c r="A83" t="s">
        <v>1211</v>
      </c>
      <c r="B83">
        <v>2</v>
      </c>
      <c r="D83" t="s">
        <v>1212</v>
      </c>
      <c r="E83">
        <v>1.5</v>
      </c>
    </row>
    <row r="84" spans="1:5">
      <c r="A84" t="s">
        <v>1213</v>
      </c>
      <c r="B84">
        <v>1.5</v>
      </c>
      <c r="D84" t="s">
        <v>1214</v>
      </c>
      <c r="E84">
        <v>1</v>
      </c>
    </row>
    <row r="85" spans="1:5">
      <c r="A85" t="s">
        <v>1215</v>
      </c>
      <c r="B85">
        <v>1</v>
      </c>
      <c r="D85" t="s">
        <v>1216</v>
      </c>
      <c r="E85">
        <v>0.5</v>
      </c>
    </row>
    <row r="86" spans="1:5">
      <c r="A86" t="s">
        <v>1217</v>
      </c>
      <c r="B86">
        <v>0</v>
      </c>
      <c r="D86" t="s">
        <v>1218</v>
      </c>
      <c r="E86">
        <v>0</v>
      </c>
    </row>
    <row r="89" spans="1:5">
      <c r="A89" s="1" t="s">
        <v>1219</v>
      </c>
    </row>
    <row r="90" spans="1:5">
      <c r="A90" t="s">
        <v>1211</v>
      </c>
      <c r="B90">
        <v>3</v>
      </c>
    </row>
    <row r="91" spans="1:5">
      <c r="A91" t="s">
        <v>1213</v>
      </c>
      <c r="B91">
        <v>2</v>
      </c>
    </row>
    <row r="92" spans="1:5">
      <c r="A92" t="s">
        <v>1215</v>
      </c>
      <c r="B92">
        <v>1</v>
      </c>
    </row>
    <row r="93" spans="1:5">
      <c r="A93" t="s">
        <v>1217</v>
      </c>
      <c r="B93">
        <v>0</v>
      </c>
    </row>
    <row r="96" spans="1:5">
      <c r="A96" t="s">
        <v>1220</v>
      </c>
      <c r="B96" t="s">
        <v>1097</v>
      </c>
      <c r="C96" t="s">
        <v>1221</v>
      </c>
      <c r="D96" t="s">
        <v>1222</v>
      </c>
    </row>
    <row r="97" spans="1:7">
      <c r="B97" t="s">
        <v>1223</v>
      </c>
      <c r="C97" t="s">
        <v>1224</v>
      </c>
      <c r="D97" t="s">
        <v>1225</v>
      </c>
    </row>
    <row r="98" spans="1:7">
      <c r="B98" t="s">
        <v>1226</v>
      </c>
      <c r="C98" t="s">
        <v>1227</v>
      </c>
      <c r="D98" t="s">
        <v>1228</v>
      </c>
      <c r="E98" t="s">
        <v>1229</v>
      </c>
    </row>
    <row r="99" spans="1:7">
      <c r="B99" t="s">
        <v>1230</v>
      </c>
      <c r="C99" t="s">
        <v>1231</v>
      </c>
      <c r="D99" t="s">
        <v>1232</v>
      </c>
      <c r="E99" t="s">
        <v>1233</v>
      </c>
    </row>
    <row r="100" spans="1:7">
      <c r="B100" t="s">
        <v>1155</v>
      </c>
      <c r="C100" t="s">
        <v>1234</v>
      </c>
      <c r="D100" t="s">
        <v>1235</v>
      </c>
      <c r="E100" t="s">
        <v>1236</v>
      </c>
      <c r="F100" t="s">
        <v>1237</v>
      </c>
    </row>
    <row r="101" spans="1:7">
      <c r="B101" t="s">
        <v>1238</v>
      </c>
      <c r="C101" t="s">
        <v>1239</v>
      </c>
      <c r="D101" t="s">
        <v>1240</v>
      </c>
      <c r="E101" t="s">
        <v>1241</v>
      </c>
      <c r="F101" t="s">
        <v>1237</v>
      </c>
    </row>
    <row r="103" spans="1:7">
      <c r="B103" s="1" t="s">
        <v>1197</v>
      </c>
    </row>
    <row r="104" spans="1:7">
      <c r="B104" t="s">
        <v>1242</v>
      </c>
      <c r="C104">
        <v>4</v>
      </c>
      <c r="D104">
        <v>3</v>
      </c>
      <c r="E104">
        <v>2</v>
      </c>
      <c r="F104">
        <v>1</v>
      </c>
      <c r="G104">
        <v>0</v>
      </c>
    </row>
    <row r="105" spans="1:7">
      <c r="A105">
        <v>0</v>
      </c>
      <c r="B105" s="4">
        <v>0</v>
      </c>
      <c r="D105">
        <v>0</v>
      </c>
      <c r="E105" s="4">
        <v>0</v>
      </c>
    </row>
    <row r="106" spans="1:7">
      <c r="A106">
        <v>1</v>
      </c>
      <c r="B106" s="5">
        <v>0.5</v>
      </c>
      <c r="D106">
        <v>1</v>
      </c>
      <c r="E106" s="5">
        <v>0.5</v>
      </c>
      <c r="F106" s="3"/>
      <c r="G106" s="3"/>
    </row>
    <row r="107" spans="1:7">
      <c r="A107">
        <v>2</v>
      </c>
      <c r="B107" s="4">
        <v>1</v>
      </c>
      <c r="D107">
        <v>2</v>
      </c>
      <c r="E107" s="4">
        <v>1</v>
      </c>
      <c r="F107" s="3"/>
      <c r="G107" s="3"/>
    </row>
    <row r="108" spans="1:7">
      <c r="A108">
        <v>3</v>
      </c>
      <c r="B108" s="5">
        <v>1.5</v>
      </c>
      <c r="D108">
        <v>3</v>
      </c>
      <c r="E108" s="5">
        <v>1.5</v>
      </c>
    </row>
    <row r="109" spans="1:7">
      <c r="A109">
        <v>4</v>
      </c>
      <c r="B109" s="5">
        <v>2</v>
      </c>
      <c r="D109">
        <v>4</v>
      </c>
      <c r="E109" s="5">
        <v>1.5</v>
      </c>
    </row>
    <row r="110" spans="1:7">
      <c r="B110" s="4"/>
    </row>
    <row r="111" spans="1:7">
      <c r="A111" t="s">
        <v>1096</v>
      </c>
      <c r="B111" s="4" t="s">
        <v>1137</v>
      </c>
      <c r="C111" t="s">
        <v>1243</v>
      </c>
      <c r="D111" t="s">
        <v>1244</v>
      </c>
      <c r="E111" t="s">
        <v>1245</v>
      </c>
    </row>
    <row r="112" spans="1:7">
      <c r="B112" s="4" t="s">
        <v>1246</v>
      </c>
      <c r="C112" t="s">
        <v>1247</v>
      </c>
      <c r="D112" t="s">
        <v>1248</v>
      </c>
    </row>
    <row r="113" spans="1:9">
      <c r="B113" s="4" t="s">
        <v>1249</v>
      </c>
      <c r="C113" s="1" t="s">
        <v>1250</v>
      </c>
      <c r="D113" t="s">
        <v>1251</v>
      </c>
      <c r="E113" t="s">
        <v>1252</v>
      </c>
      <c r="F113" t="s">
        <v>1253</v>
      </c>
    </row>
    <row r="114" spans="1:9">
      <c r="B114" s="4" t="s">
        <v>1254</v>
      </c>
      <c r="C114" s="1" t="s">
        <v>1255</v>
      </c>
      <c r="D114" t="s">
        <v>1256</v>
      </c>
      <c r="E114" t="s">
        <v>1257</v>
      </c>
    </row>
    <row r="115" spans="1:9">
      <c r="B115" s="4"/>
    </row>
    <row r="116" spans="1:9">
      <c r="B116" s="4"/>
    </row>
    <row r="117" spans="1:9">
      <c r="A117" t="s">
        <v>350</v>
      </c>
      <c r="B117" t="s">
        <v>1258</v>
      </c>
      <c r="C117" t="s">
        <v>1259</v>
      </c>
      <c r="D117" t="s">
        <v>1260</v>
      </c>
    </row>
    <row r="118" spans="1:9">
      <c r="A118" s="4" t="s">
        <v>1261</v>
      </c>
      <c r="B118" s="4">
        <v>6</v>
      </c>
      <c r="C118" s="4">
        <v>5</v>
      </c>
      <c r="D118" s="4">
        <v>4</v>
      </c>
      <c r="E118" s="4">
        <v>3</v>
      </c>
      <c r="F118" s="4">
        <v>2</v>
      </c>
      <c r="G118" s="4">
        <v>1</v>
      </c>
      <c r="H118" s="4">
        <v>0</v>
      </c>
    </row>
    <row r="119" spans="1:9">
      <c r="B119" s="4"/>
      <c r="C119" s="3"/>
      <c r="D119" s="3"/>
      <c r="E119" s="3"/>
      <c r="F119" s="3"/>
      <c r="G119" s="3"/>
      <c r="H119" s="3"/>
      <c r="I119" s="3"/>
    </row>
    <row r="120" spans="1:9">
      <c r="B120" s="6" t="s">
        <v>1197</v>
      </c>
      <c r="C120" s="3"/>
      <c r="D120" s="3"/>
      <c r="E120" s="3"/>
      <c r="F120" s="3"/>
      <c r="G120" s="3"/>
      <c r="H120" s="3"/>
      <c r="I120" s="3"/>
    </row>
    <row r="121" spans="1:9">
      <c r="A121" t="s">
        <v>1262</v>
      </c>
      <c r="B121">
        <v>3</v>
      </c>
    </row>
    <row r="122" spans="1:9">
      <c r="A122">
        <v>5</v>
      </c>
      <c r="B122">
        <v>3</v>
      </c>
    </row>
    <row r="123" spans="1:9">
      <c r="A123">
        <v>4</v>
      </c>
      <c r="B123">
        <v>2</v>
      </c>
    </row>
    <row r="124" spans="1:9">
      <c r="A124">
        <v>3</v>
      </c>
      <c r="B124">
        <v>2</v>
      </c>
    </row>
    <row r="125" spans="1:9">
      <c r="A125">
        <v>2</v>
      </c>
      <c r="B125">
        <v>1</v>
      </c>
    </row>
    <row r="126" spans="1:9">
      <c r="A126">
        <v>1</v>
      </c>
      <c r="B126">
        <v>1</v>
      </c>
    </row>
    <row r="127" spans="1:9">
      <c r="A127">
        <v>0</v>
      </c>
      <c r="B127">
        <v>0</v>
      </c>
    </row>
    <row r="130" spans="1:6">
      <c r="A130" t="s">
        <v>1263</v>
      </c>
      <c r="B130" t="s">
        <v>1264</v>
      </c>
      <c r="C130" t="s">
        <v>1265</v>
      </c>
      <c r="D130" t="s">
        <v>1266</v>
      </c>
      <c r="E130" t="s">
        <v>1267</v>
      </c>
      <c r="F130" t="s">
        <v>1268</v>
      </c>
    </row>
    <row r="131" spans="1:6">
      <c r="B131" t="s">
        <v>1269</v>
      </c>
      <c r="C131" t="s">
        <v>1270</v>
      </c>
      <c r="D131" t="s">
        <v>1271</v>
      </c>
      <c r="E131" t="s">
        <v>1272</v>
      </c>
    </row>
    <row r="134" spans="1:6" ht="21">
      <c r="A134" s="7" t="s">
        <v>1273</v>
      </c>
    </row>
    <row r="136" spans="1:6">
      <c r="B136" t="s">
        <v>127</v>
      </c>
    </row>
    <row r="137" spans="1:6">
      <c r="A137" t="s">
        <v>1062</v>
      </c>
      <c r="B137" t="s">
        <v>1063</v>
      </c>
      <c r="C137" t="s">
        <v>1274</v>
      </c>
      <c r="D137" t="s">
        <v>1275</v>
      </c>
    </row>
    <row r="138" spans="1:6">
      <c r="B138" t="s">
        <v>1276</v>
      </c>
      <c r="C138" t="s">
        <v>1277</v>
      </c>
      <c r="D138" t="s">
        <v>1278</v>
      </c>
    </row>
    <row r="139" spans="1:6">
      <c r="B139" t="s">
        <v>1279</v>
      </c>
      <c r="C139" t="s">
        <v>1280</v>
      </c>
      <c r="D139" t="s">
        <v>1281</v>
      </c>
    </row>
    <row r="140" spans="1:6">
      <c r="B140" t="s">
        <v>1084</v>
      </c>
      <c r="C140" t="s">
        <v>1282</v>
      </c>
      <c r="D140" t="s">
        <v>1283</v>
      </c>
    </row>
    <row r="141" spans="1:6">
      <c r="B141" t="s">
        <v>1284</v>
      </c>
      <c r="C141" t="s">
        <v>1285</v>
      </c>
      <c r="D141" t="s">
        <v>1286</v>
      </c>
    </row>
    <row r="144" spans="1:6">
      <c r="A144" t="s">
        <v>1220</v>
      </c>
      <c r="B144" t="s">
        <v>1287</v>
      </c>
      <c r="C144" t="s">
        <v>1288</v>
      </c>
      <c r="D144" t="s">
        <v>1289</v>
      </c>
      <c r="E144" t="s">
        <v>1290</v>
      </c>
    </row>
    <row r="145" spans="1:7">
      <c r="B145" t="s">
        <v>1291</v>
      </c>
      <c r="C145" t="s">
        <v>1292</v>
      </c>
      <c r="D145" t="s">
        <v>1293</v>
      </c>
      <c r="E145" t="s">
        <v>1294</v>
      </c>
    </row>
    <row r="146" spans="1:7">
      <c r="B146" t="s">
        <v>1149</v>
      </c>
      <c r="C146" t="s">
        <v>1295</v>
      </c>
      <c r="D146" t="s">
        <v>1296</v>
      </c>
    </row>
    <row r="149" spans="1:7">
      <c r="A149" t="s">
        <v>1096</v>
      </c>
      <c r="B149" t="s">
        <v>1109</v>
      </c>
      <c r="C149" t="s">
        <v>1297</v>
      </c>
      <c r="D149" t="s">
        <v>1298</v>
      </c>
      <c r="E149" t="s">
        <v>1299</v>
      </c>
    </row>
    <row r="150" spans="1:7">
      <c r="B150" t="s">
        <v>1249</v>
      </c>
      <c r="C150" s="1" t="s">
        <v>1300</v>
      </c>
      <c r="D150" t="s">
        <v>1301</v>
      </c>
      <c r="E150" t="s">
        <v>1302</v>
      </c>
    </row>
    <row r="151" spans="1:7">
      <c r="B151" t="s">
        <v>1113</v>
      </c>
      <c r="C151" t="s">
        <v>1303</v>
      </c>
      <c r="D151" t="s">
        <v>1304</v>
      </c>
    </row>
    <row r="152" spans="1:7">
      <c r="B152" t="s">
        <v>1116</v>
      </c>
      <c r="C152" t="s">
        <v>1305</v>
      </c>
      <c r="D152" t="s">
        <v>1306</v>
      </c>
    </row>
    <row r="153" spans="1:7">
      <c r="B153" t="s">
        <v>1119</v>
      </c>
      <c r="C153" t="s">
        <v>1307</v>
      </c>
      <c r="D153" t="s">
        <v>1308</v>
      </c>
      <c r="E153" t="s">
        <v>1309</v>
      </c>
    </row>
    <row r="154" spans="1:7">
      <c r="B154" t="s">
        <v>1123</v>
      </c>
      <c r="C154" t="s">
        <v>1310</v>
      </c>
      <c r="D154" t="s">
        <v>1311</v>
      </c>
      <c r="E154" t="s">
        <v>1312</v>
      </c>
    </row>
    <row r="156" spans="1:7">
      <c r="A156" t="s">
        <v>350</v>
      </c>
      <c r="B156" t="s">
        <v>1313</v>
      </c>
      <c r="C156" t="s">
        <v>1314</v>
      </c>
      <c r="D156" t="s">
        <v>1315</v>
      </c>
    </row>
    <row r="157" spans="1:7">
      <c r="B157" t="s">
        <v>1316</v>
      </c>
      <c r="C157" t="s">
        <v>1317</v>
      </c>
      <c r="D157" t="s">
        <v>1318</v>
      </c>
      <c r="E157" t="s">
        <v>1319</v>
      </c>
      <c r="F157" t="s">
        <v>1320</v>
      </c>
      <c r="G157" t="s">
        <v>1321</v>
      </c>
    </row>
    <row r="159" spans="1:7">
      <c r="B159" t="s">
        <v>1322</v>
      </c>
    </row>
    <row r="160" spans="1:7">
      <c r="A160" s="1" t="s">
        <v>1323</v>
      </c>
      <c r="D160" s="1" t="s">
        <v>1324</v>
      </c>
    </row>
    <row r="161" spans="1:5">
      <c r="A161" t="s">
        <v>1325</v>
      </c>
      <c r="B161">
        <v>4</v>
      </c>
      <c r="D161" t="s">
        <v>1325</v>
      </c>
      <c r="E161">
        <v>2</v>
      </c>
    </row>
    <row r="162" spans="1:5">
      <c r="A162" t="s">
        <v>1326</v>
      </c>
      <c r="B162">
        <v>3.5</v>
      </c>
      <c r="D162" t="s">
        <v>1327</v>
      </c>
      <c r="E162">
        <v>1.5</v>
      </c>
    </row>
    <row r="163" spans="1:5">
      <c r="A163" t="s">
        <v>1328</v>
      </c>
      <c r="B163">
        <v>3</v>
      </c>
      <c r="D163" t="s">
        <v>1329</v>
      </c>
      <c r="E163">
        <v>1</v>
      </c>
    </row>
    <row r="164" spans="1:5">
      <c r="A164" t="s">
        <v>1330</v>
      </c>
      <c r="B164">
        <v>2.5</v>
      </c>
      <c r="D164" t="s">
        <v>1331</v>
      </c>
      <c r="E164">
        <v>0.5</v>
      </c>
    </row>
    <row r="165" spans="1:5">
      <c r="A165" t="s">
        <v>1332</v>
      </c>
      <c r="B165">
        <v>2</v>
      </c>
      <c r="D165" t="s">
        <v>1333</v>
      </c>
      <c r="E165">
        <v>0</v>
      </c>
    </row>
    <row r="166" spans="1:5">
      <c r="A166" t="s">
        <v>1334</v>
      </c>
      <c r="B166">
        <v>1.5</v>
      </c>
    </row>
    <row r="167" spans="1:5">
      <c r="A167" t="s">
        <v>1335</v>
      </c>
      <c r="B167">
        <v>1</v>
      </c>
    </row>
    <row r="168" spans="1:5">
      <c r="A168" t="s">
        <v>1336</v>
      </c>
      <c r="B168">
        <v>0</v>
      </c>
    </row>
    <row r="170" spans="1:5">
      <c r="B170" t="s">
        <v>1337</v>
      </c>
    </row>
    <row r="171" spans="1:5">
      <c r="A171" s="1" t="s">
        <v>1338</v>
      </c>
      <c r="D171" s="1" t="s">
        <v>1338</v>
      </c>
    </row>
    <row r="172" spans="1:5">
      <c r="A172" t="s">
        <v>1339</v>
      </c>
      <c r="B172">
        <v>2</v>
      </c>
      <c r="D172" t="s">
        <v>1339</v>
      </c>
      <c r="E172">
        <v>1</v>
      </c>
    </row>
    <row r="173" spans="1:5">
      <c r="A173" t="s">
        <v>1340</v>
      </c>
      <c r="B173">
        <v>1.5</v>
      </c>
      <c r="D173" t="s">
        <v>1340</v>
      </c>
      <c r="E173">
        <v>0.5</v>
      </c>
    </row>
    <row r="174" spans="1:5">
      <c r="A174" t="s">
        <v>1341</v>
      </c>
      <c r="B174">
        <v>1</v>
      </c>
      <c r="D174" t="s">
        <v>1341</v>
      </c>
      <c r="E174">
        <v>0.5</v>
      </c>
    </row>
    <row r="175" spans="1:5">
      <c r="A175" t="s">
        <v>1342</v>
      </c>
      <c r="B175">
        <v>0.5</v>
      </c>
      <c r="D175" t="s">
        <v>1342</v>
      </c>
      <c r="E175">
        <v>0.5</v>
      </c>
    </row>
    <row r="176" spans="1:5">
      <c r="A176" t="s">
        <v>1343</v>
      </c>
      <c r="B176">
        <v>0</v>
      </c>
      <c r="D176" t="s">
        <v>1343</v>
      </c>
      <c r="E176">
        <v>0</v>
      </c>
    </row>
    <row r="181" spans="1:7">
      <c r="B181" s="4"/>
    </row>
    <row r="182" spans="1:7">
      <c r="A182" t="s">
        <v>1263</v>
      </c>
      <c r="B182" s="4" t="s">
        <v>1269</v>
      </c>
      <c r="C182" t="s">
        <v>1344</v>
      </c>
      <c r="D182" t="s">
        <v>1345</v>
      </c>
      <c r="E182" t="s">
        <v>1346</v>
      </c>
      <c r="F182" t="s">
        <v>1347</v>
      </c>
      <c r="G182" t="s">
        <v>1348</v>
      </c>
    </row>
    <row r="183" spans="1:7">
      <c r="B183" s="4" t="s">
        <v>1349</v>
      </c>
      <c r="C183" t="s">
        <v>1350</v>
      </c>
      <c r="D183" t="s">
        <v>1351</v>
      </c>
      <c r="E183" t="s">
        <v>1352</v>
      </c>
    </row>
    <row r="184" spans="1:7">
      <c r="B184" s="4" t="s">
        <v>1353</v>
      </c>
      <c r="C184" t="s">
        <v>1354</v>
      </c>
      <c r="D184" t="s">
        <v>1355</v>
      </c>
      <c r="E184" t="s">
        <v>1352</v>
      </c>
    </row>
    <row r="185" spans="1:7">
      <c r="B185" s="4"/>
    </row>
    <row r="186" spans="1:7">
      <c r="A186" t="s">
        <v>1356</v>
      </c>
      <c r="B186" s="4" t="e">
        <f>'Energy and water utilities'!#REF!+'Energy and water utilities'!#REF!+'Energy and water utilities'!#REF!</f>
        <v>#REF!</v>
      </c>
    </row>
    <row r="187" spans="1:7">
      <c r="A187" t="s">
        <v>1357</v>
      </c>
      <c r="B187" s="4" t="e">
        <f>IF(AND(ISBLANK('Energy and water utilities'!E42),ISBLANK('Energy and water utilities'!E40)),0,'Energy and water utilities'!E42+'Energy and water utilities'!E40)</f>
        <v>#VALUE!</v>
      </c>
    </row>
    <row r="188" spans="1:7">
      <c r="B188" s="5" t="b">
        <f>IF('Energy and water utilities'!D14="Municipally Owned Utility",SUM('Energy and water utilities'!#REF!),IF('Energy and water utilities'!D14="Investor Owned Utility",SUM('Energy and water utilities'!E40:E42)))</f>
        <v>0</v>
      </c>
    </row>
    <row r="189" spans="1:7">
      <c r="B189" s="5"/>
    </row>
    <row r="190" spans="1:7">
      <c r="A190" t="s">
        <v>1358</v>
      </c>
      <c r="B190" s="5" t="s">
        <v>1359</v>
      </c>
      <c r="C190" t="s">
        <v>1360</v>
      </c>
      <c r="D190" t="s">
        <v>1361</v>
      </c>
      <c r="E190" t="s">
        <v>1362</v>
      </c>
    </row>
    <row r="191" spans="1:7">
      <c r="A191" t="s">
        <v>1363</v>
      </c>
      <c r="B191" s="4">
        <f>'Energy and water utilities'!D23*(1-'Energy and water utilities'!D22)</f>
        <v>0</v>
      </c>
      <c r="C191" t="e">
        <f>B191/'Energy and water utilities'!D29</f>
        <v>#DIV/0!</v>
      </c>
      <c r="D191" s="238" t="e">
        <f>(('Energy and water utilities'!D25/'Energy and water utilities'!D28)-'Hidden Sheet'!C191)/('Energy and water utilities'!D25/'Energy and water utilities'!D28)</f>
        <v>#DIV/0!</v>
      </c>
      <c r="E191" s="272" t="e">
        <f>D191/('Energy and water utilities'!D21-'Energy and water utilities'!D24)</f>
        <v>#DIV/0!</v>
      </c>
    </row>
    <row r="192" spans="1:7">
      <c r="B192" s="5"/>
    </row>
    <row r="193" spans="1:8">
      <c r="B193" s="5"/>
    </row>
    <row r="194" spans="1:8">
      <c r="B194" s="5"/>
    </row>
    <row r="195" spans="1:8">
      <c r="B195" s="5"/>
    </row>
    <row r="196" spans="1:8">
      <c r="B196" s="5"/>
    </row>
    <row r="197" spans="1:8">
      <c r="B197" s="5"/>
    </row>
    <row r="198" spans="1:8" ht="21">
      <c r="A198" s="7" t="s">
        <v>772</v>
      </c>
      <c r="B198" s="4"/>
    </row>
    <row r="199" spans="1:8">
      <c r="A199" t="s">
        <v>1142</v>
      </c>
      <c r="B199" s="4" t="e">
        <f ca="1">CELL("address",INDEX('GHG per capita data'!C2:AG5,4,MATCH('Transportation policies'!D19,'GHG per capita data'!C2:AG2,0)))</f>
        <v>#N/A</v>
      </c>
      <c r="C199" t="e">
        <f ca="1">CELL("address",INDEX('GHG per capita data'!C2:AG5,4,MATCH('Transportation policies'!D21,'GHG per capita data'!C2:AG2,0)))</f>
        <v>#N/A</v>
      </c>
      <c r="D199" t="e">
        <f ca="1">CELL("address",INDEX('GHG per capita data'!C2:AG4,1,MATCH('Transportation policies'!D19,'GHG per capita data'!C2:AG2,0)))</f>
        <v>#N/A</v>
      </c>
      <c r="E199" t="e">
        <f ca="1">CELL("address",INDEX('GHG per capita data'!C2:AG4,1,MATCH('Transportation policies'!D21,'GHG per capita data'!C2:AG2,0)))</f>
        <v>#N/A</v>
      </c>
      <c r="F199" t="e">
        <f ca="1">SLOPE(INDIRECT(B199):INDIRECT(C199),INDIRECT(D199):INDIRECT(E199))</f>
        <v>#N/A</v>
      </c>
      <c r="G199" t="e">
        <f ca="1">F199/INDIRECT(B199)</f>
        <v>#N/A</v>
      </c>
    </row>
    <row r="200" spans="1:8">
      <c r="A200" t="s">
        <v>1363</v>
      </c>
      <c r="B200" s="4">
        <f>'Transportation policies'!D18*(1-'Transportation policies'!D17)</f>
        <v>0</v>
      </c>
      <c r="C200" t="e">
        <f>B200/'Transportation policies'!D24</f>
        <v>#DIV/0!</v>
      </c>
      <c r="D200" s="238" t="e">
        <f>(('Transportation policies'!D20/'Transportation policies'!D23)-'Hidden Sheet'!C200)/('Transportation policies'!D20/'Transportation policies'!D23)</f>
        <v>#DIV/0!</v>
      </c>
      <c r="E200" s="239" t="e">
        <f>D200/('Transportation policies'!D16-'Transportation policies'!D19)</f>
        <v>#DIV/0!</v>
      </c>
    </row>
    <row r="201" spans="1:8">
      <c r="B201" s="4" t="s">
        <v>1176</v>
      </c>
    </row>
    <row r="202" spans="1:8">
      <c r="A202" t="s">
        <v>1364</v>
      </c>
      <c r="B202" s="4" t="s">
        <v>1365</v>
      </c>
      <c r="C202" s="1" t="s">
        <v>1366</v>
      </c>
      <c r="D202" t="s">
        <v>1367</v>
      </c>
      <c r="E202" t="s">
        <v>1368</v>
      </c>
      <c r="F202" t="s">
        <v>1369</v>
      </c>
      <c r="G202" t="s">
        <v>1370</v>
      </c>
      <c r="H202" t="s">
        <v>1371</v>
      </c>
    </row>
    <row r="203" spans="1:8">
      <c r="B203" s="4" t="s">
        <v>1372</v>
      </c>
      <c r="C203" s="1" t="s">
        <v>1373</v>
      </c>
      <c r="D203" t="s">
        <v>1374</v>
      </c>
      <c r="E203" t="s">
        <v>1375</v>
      </c>
      <c r="F203" t="s">
        <v>1376</v>
      </c>
    </row>
    <row r="204" spans="1:8">
      <c r="B204" s="4" t="s">
        <v>1377</v>
      </c>
      <c r="C204" s="1" t="s">
        <v>1378</v>
      </c>
      <c r="D204" t="s">
        <v>1379</v>
      </c>
      <c r="E204" t="s">
        <v>1380</v>
      </c>
      <c r="F204" t="s">
        <v>1381</v>
      </c>
    </row>
    <row r="205" spans="1:8">
      <c r="B205" s="4" t="s">
        <v>1382</v>
      </c>
      <c r="C205" s="1" t="s">
        <v>1383</v>
      </c>
      <c r="D205" t="s">
        <v>1384</v>
      </c>
      <c r="E205" t="s">
        <v>1385</v>
      </c>
      <c r="F205" t="s">
        <v>1386</v>
      </c>
      <c r="G205" t="s">
        <v>1387</v>
      </c>
      <c r="H205" t="s">
        <v>1388</v>
      </c>
    </row>
    <row r="206" spans="1:8">
      <c r="B206" s="4" t="s">
        <v>1389</v>
      </c>
      <c r="C206" s="1" t="s">
        <v>1390</v>
      </c>
      <c r="D206" t="s">
        <v>1391</v>
      </c>
      <c r="E206" t="s">
        <v>1392</v>
      </c>
      <c r="F206" t="s">
        <v>1393</v>
      </c>
    </row>
    <row r="207" spans="1:8">
      <c r="B207" s="4"/>
      <c r="C207" s="1"/>
    </row>
    <row r="208" spans="1:8">
      <c r="B208" s="4"/>
      <c r="C208" s="1"/>
    </row>
    <row r="209" spans="1:8">
      <c r="A209" t="s">
        <v>1220</v>
      </c>
      <c r="B209" s="4" t="s">
        <v>1394</v>
      </c>
      <c r="C209" s="1" t="s">
        <v>1395</v>
      </c>
      <c r="D209" t="s">
        <v>1396</v>
      </c>
      <c r="E209" t="s">
        <v>1397</v>
      </c>
    </row>
    <row r="210" spans="1:8">
      <c r="B210" s="4" t="s">
        <v>1398</v>
      </c>
      <c r="C210" s="1" t="s">
        <v>1399</v>
      </c>
      <c r="D210" t="s">
        <v>1400</v>
      </c>
      <c r="E210" t="s">
        <v>1401</v>
      </c>
      <c r="F210" t="s">
        <v>1402</v>
      </c>
      <c r="G210" t="s">
        <v>1403</v>
      </c>
      <c r="H210" t="s">
        <v>1404</v>
      </c>
    </row>
    <row r="211" spans="1:8">
      <c r="B211" s="4"/>
      <c r="C211" s="1"/>
    </row>
    <row r="212" spans="1:8">
      <c r="A212" t="s">
        <v>1096</v>
      </c>
      <c r="B212" s="4" t="s">
        <v>1405</v>
      </c>
      <c r="C212" s="1" t="s">
        <v>1406</v>
      </c>
      <c r="D212" t="s">
        <v>1407</v>
      </c>
      <c r="E212" t="s">
        <v>1408</v>
      </c>
      <c r="F212" t="s">
        <v>1409</v>
      </c>
    </row>
    <row r="213" spans="1:8">
      <c r="B213" s="4" t="s">
        <v>1410</v>
      </c>
      <c r="C213" s="1" t="s">
        <v>1411</v>
      </c>
      <c r="D213" t="s">
        <v>1412</v>
      </c>
      <c r="E213" t="s">
        <v>1413</v>
      </c>
      <c r="F213" t="s">
        <v>1414</v>
      </c>
    </row>
    <row r="214" spans="1:8">
      <c r="B214" s="4" t="s">
        <v>1415</v>
      </c>
      <c r="C214" s="1" t="s">
        <v>1416</v>
      </c>
      <c r="D214" t="s">
        <v>1417</v>
      </c>
      <c r="E214" t="s">
        <v>1418</v>
      </c>
      <c r="F214" t="s">
        <v>1419</v>
      </c>
    </row>
    <row r="215" spans="1:8">
      <c r="A215" s="4"/>
      <c r="B215" s="4" t="s">
        <v>1420</v>
      </c>
      <c r="C215" s="1" t="s">
        <v>1421</v>
      </c>
      <c r="D215" t="s">
        <v>1422</v>
      </c>
      <c r="E215" t="s">
        <v>1423</v>
      </c>
      <c r="F215" t="s">
        <v>1424</v>
      </c>
      <c r="G215" t="s">
        <v>1425</v>
      </c>
      <c r="H215" t="s">
        <v>1426</v>
      </c>
    </row>
    <row r="216" spans="1:8">
      <c r="A216" s="4"/>
      <c r="B216" s="4" t="s">
        <v>1427</v>
      </c>
      <c r="C216" s="1" t="s">
        <v>526</v>
      </c>
      <c r="D216" s="9" t="s">
        <v>1428</v>
      </c>
      <c r="E216" s="9" t="s">
        <v>1429</v>
      </c>
      <c r="F216" s="9" t="s">
        <v>1430</v>
      </c>
      <c r="G216" s="9" t="s">
        <v>1431</v>
      </c>
      <c r="H216" s="9" t="s">
        <v>1432</v>
      </c>
    </row>
    <row r="217" spans="1:8">
      <c r="B217" s="4"/>
      <c r="C217" s="1"/>
    </row>
    <row r="218" spans="1:8">
      <c r="A218" t="s">
        <v>350</v>
      </c>
      <c r="B218" s="4" t="s">
        <v>1433</v>
      </c>
      <c r="C218" s="1" t="s">
        <v>1434</v>
      </c>
      <c r="D218">
        <v>3</v>
      </c>
      <c r="E218">
        <v>2</v>
      </c>
      <c r="F218">
        <v>1</v>
      </c>
      <c r="G218">
        <v>0</v>
      </c>
    </row>
    <row r="219" spans="1:8">
      <c r="B219" s="4" t="s">
        <v>1435</v>
      </c>
      <c r="C219" s="1" t="s">
        <v>1436</v>
      </c>
      <c r="D219" t="s">
        <v>1437</v>
      </c>
      <c r="E219" t="s">
        <v>1438</v>
      </c>
    </row>
    <row r="220" spans="1:8">
      <c r="B220" s="4" t="s">
        <v>1439</v>
      </c>
      <c r="C220" s="1" t="s">
        <v>1440</v>
      </c>
      <c r="D220" t="s">
        <v>1441</v>
      </c>
      <c r="E220" t="s">
        <v>1442</v>
      </c>
    </row>
    <row r="221" spans="1:8">
      <c r="B221" s="4" t="s">
        <v>1443</v>
      </c>
      <c r="C221" s="1" t="s">
        <v>1444</v>
      </c>
      <c r="D221" t="s">
        <v>1445</v>
      </c>
      <c r="E221" t="s">
        <v>1446</v>
      </c>
      <c r="F221" t="s">
        <v>1447</v>
      </c>
    </row>
    <row r="222" spans="1:8">
      <c r="B222" s="4"/>
      <c r="C222" s="1"/>
    </row>
    <row r="223" spans="1:8">
      <c r="A223">
        <v>3</v>
      </c>
      <c r="B223" s="5">
        <v>1.5</v>
      </c>
      <c r="C223" s="1"/>
    </row>
    <row r="224" spans="1:8">
      <c r="A224">
        <v>2</v>
      </c>
      <c r="B224" s="4">
        <v>1</v>
      </c>
      <c r="C224" s="1"/>
    </row>
    <row r="225" spans="1:6">
      <c r="A225">
        <v>1</v>
      </c>
      <c r="B225" s="5">
        <v>0.5</v>
      </c>
      <c r="C225" s="1"/>
    </row>
    <row r="226" spans="1:6">
      <c r="A226">
        <v>0</v>
      </c>
      <c r="B226" s="4">
        <v>0</v>
      </c>
      <c r="C226" s="1"/>
    </row>
    <row r="227" spans="1:6">
      <c r="B227" s="4"/>
      <c r="C227" s="1"/>
    </row>
    <row r="228" spans="1:6">
      <c r="B228" s="4"/>
      <c r="C228" s="1"/>
    </row>
    <row r="229" spans="1:6">
      <c r="C229" s="1"/>
    </row>
    <row r="230" spans="1:6">
      <c r="A230" t="s">
        <v>1263</v>
      </c>
      <c r="B230" s="4" t="s">
        <v>1448</v>
      </c>
      <c r="C230" s="1" t="s">
        <v>1449</v>
      </c>
      <c r="D230" t="s">
        <v>1450</v>
      </c>
      <c r="E230" t="s">
        <v>1451</v>
      </c>
      <c r="F230" t="s">
        <v>1452</v>
      </c>
    </row>
    <row r="232" spans="1:6" ht="21">
      <c r="A232" s="7" t="s">
        <v>717</v>
      </c>
    </row>
    <row r="233" spans="1:6" ht="15.25" customHeight="1">
      <c r="A233" s="7"/>
    </row>
    <row r="234" spans="1:6">
      <c r="A234" t="s">
        <v>1453</v>
      </c>
      <c r="B234" t="s">
        <v>1454</v>
      </c>
    </row>
    <row r="235" spans="1:6">
      <c r="A235" t="e">
        <f>#REF!</f>
        <v>#REF!</v>
      </c>
      <c r="B235" t="s">
        <v>772</v>
      </c>
    </row>
    <row r="236" spans="1:6">
      <c r="A236" t="e">
        <f>#REF!</f>
        <v>#REF!</v>
      </c>
      <c r="B236" t="s">
        <v>776</v>
      </c>
    </row>
    <row r="237" spans="1:6">
      <c r="A237" t="e">
        <f>#REF!</f>
        <v>#REF!</v>
      </c>
      <c r="B237" t="s">
        <v>777</v>
      </c>
    </row>
    <row r="238" spans="1:6">
      <c r="A238" s="4" t="e">
        <f>#REF!</f>
        <v>#REF!</v>
      </c>
      <c r="B238" t="s">
        <v>1591</v>
      </c>
    </row>
    <row r="239" spans="1:6">
      <c r="A239" t="e">
        <f>#REF!</f>
        <v>#REF!</v>
      </c>
      <c r="B239" t="s">
        <v>771</v>
      </c>
    </row>
    <row r="242" spans="1:10">
      <c r="A242" t="s">
        <v>1456</v>
      </c>
      <c r="B242" t="s">
        <v>1457</v>
      </c>
      <c r="C242" t="s">
        <v>1455</v>
      </c>
      <c r="D242" t="s">
        <v>776</v>
      </c>
      <c r="E242" t="s">
        <v>1458</v>
      </c>
      <c r="F242" t="s">
        <v>777</v>
      </c>
      <c r="G242" t="s">
        <v>772</v>
      </c>
    </row>
    <row r="246" spans="1:10">
      <c r="A246">
        <v>30</v>
      </c>
      <c r="B246" t="s">
        <v>1459</v>
      </c>
    </row>
    <row r="255" spans="1:10">
      <c r="A255" s="1" t="s">
        <v>1460</v>
      </c>
    </row>
    <row r="256" spans="1:10" ht="38.5">
      <c r="A256" s="98" t="s">
        <v>779</v>
      </c>
      <c r="B256" s="99" t="s">
        <v>1461</v>
      </c>
      <c r="C256" s="99" t="s">
        <v>1462</v>
      </c>
      <c r="D256" s="99" t="s">
        <v>1463</v>
      </c>
      <c r="E256" s="99" t="s">
        <v>1464</v>
      </c>
      <c r="F256" s="99" t="s">
        <v>1465</v>
      </c>
      <c r="G256" s="99" t="s">
        <v>1466</v>
      </c>
      <c r="J256" s="105" t="s">
        <v>1467</v>
      </c>
    </row>
    <row r="257" spans="1:10">
      <c r="A257" s="100" t="s">
        <v>1009</v>
      </c>
      <c r="B257" s="95">
        <v>7.5</v>
      </c>
      <c r="C257" s="95">
        <v>7</v>
      </c>
      <c r="D257" s="95">
        <v>21</v>
      </c>
      <c r="E257" s="101">
        <v>13.5</v>
      </c>
      <c r="F257" s="111">
        <v>25</v>
      </c>
      <c r="G257">
        <v>74</v>
      </c>
      <c r="J257" s="4">
        <v>1</v>
      </c>
    </row>
    <row r="258" spans="1:10">
      <c r="A258" s="102" t="s">
        <v>1014</v>
      </c>
      <c r="B258" s="95">
        <v>6.5</v>
      </c>
      <c r="C258" s="95">
        <v>12</v>
      </c>
      <c r="D258" s="95">
        <v>23</v>
      </c>
      <c r="E258" s="101">
        <v>11</v>
      </c>
      <c r="F258">
        <v>19.5</v>
      </c>
      <c r="G258">
        <v>72</v>
      </c>
      <c r="J258" s="4">
        <v>2</v>
      </c>
    </row>
    <row r="259" spans="1:10">
      <c r="A259" s="102" t="s">
        <v>1040</v>
      </c>
      <c r="B259" s="95">
        <v>5.5</v>
      </c>
      <c r="C259" s="95">
        <v>9.5</v>
      </c>
      <c r="D259" s="95">
        <v>19</v>
      </c>
      <c r="E259" s="101">
        <v>13.5</v>
      </c>
      <c r="F259">
        <v>24</v>
      </c>
      <c r="G259">
        <v>71.5</v>
      </c>
      <c r="J259" s="4">
        <v>2</v>
      </c>
    </row>
    <row r="260" spans="1:10">
      <c r="A260" s="102" t="s">
        <v>942</v>
      </c>
      <c r="B260" s="95">
        <v>6.5</v>
      </c>
      <c r="C260" s="95">
        <v>8.5</v>
      </c>
      <c r="D260" s="95">
        <v>22</v>
      </c>
      <c r="E260" s="101">
        <v>13.5</v>
      </c>
      <c r="F260">
        <v>19.5</v>
      </c>
      <c r="G260">
        <v>70</v>
      </c>
      <c r="J260" s="4">
        <v>4</v>
      </c>
    </row>
    <row r="261" spans="1:10">
      <c r="A261" s="102" t="s">
        <v>826</v>
      </c>
      <c r="B261" s="95">
        <v>7.5</v>
      </c>
      <c r="C261" s="95">
        <v>5.5</v>
      </c>
      <c r="D261" s="95">
        <v>19</v>
      </c>
      <c r="E261" s="101">
        <v>15</v>
      </c>
      <c r="F261">
        <v>22.5</v>
      </c>
      <c r="G261">
        <v>69.5</v>
      </c>
      <c r="J261" s="4">
        <v>4</v>
      </c>
    </row>
    <row r="262" spans="1:10">
      <c r="A262" s="102" t="s">
        <v>1468</v>
      </c>
      <c r="B262" s="95">
        <v>5</v>
      </c>
      <c r="C262" s="95">
        <v>6</v>
      </c>
      <c r="D262" s="95">
        <v>24</v>
      </c>
      <c r="E262" s="101">
        <v>12.5</v>
      </c>
      <c r="F262">
        <v>22</v>
      </c>
      <c r="G262">
        <v>69.5</v>
      </c>
      <c r="J262" s="4">
        <v>6</v>
      </c>
    </row>
    <row r="263" spans="1:10">
      <c r="A263" s="102" t="s">
        <v>871</v>
      </c>
      <c r="B263" s="95">
        <v>4</v>
      </c>
      <c r="C263" s="95">
        <v>9.5</v>
      </c>
      <c r="D263" s="95">
        <v>26.5</v>
      </c>
      <c r="E263" s="101">
        <v>13</v>
      </c>
      <c r="F263">
        <v>16</v>
      </c>
      <c r="G263">
        <v>69</v>
      </c>
      <c r="J263" s="4">
        <v>7</v>
      </c>
    </row>
    <row r="264" spans="1:10">
      <c r="A264" s="102" t="s">
        <v>922</v>
      </c>
      <c r="B264" s="95">
        <v>6.5</v>
      </c>
      <c r="C264" s="95">
        <v>9</v>
      </c>
      <c r="D264" s="95">
        <v>19.5</v>
      </c>
      <c r="E264" s="101">
        <v>13.5</v>
      </c>
      <c r="F264">
        <v>18.5</v>
      </c>
      <c r="G264">
        <v>67</v>
      </c>
      <c r="J264" s="4">
        <v>8</v>
      </c>
    </row>
    <row r="265" spans="1:10">
      <c r="A265" s="102" t="s">
        <v>1010</v>
      </c>
      <c r="B265" s="95">
        <v>2.5</v>
      </c>
      <c r="C265" s="95">
        <v>10</v>
      </c>
      <c r="D265" s="95">
        <v>19.5</v>
      </c>
      <c r="E265" s="101">
        <v>14</v>
      </c>
      <c r="F265">
        <v>17.5</v>
      </c>
      <c r="G265">
        <v>63.5</v>
      </c>
      <c r="J265" s="4">
        <v>9</v>
      </c>
    </row>
    <row r="266" spans="1:10" ht="15" thickBot="1">
      <c r="A266" s="102" t="s">
        <v>956</v>
      </c>
      <c r="B266" s="95">
        <v>6.5</v>
      </c>
      <c r="C266" s="95">
        <v>6.5</v>
      </c>
      <c r="D266" s="95">
        <v>15.5</v>
      </c>
      <c r="E266" s="101">
        <v>13.5</v>
      </c>
      <c r="F266" s="60">
        <v>20.5</v>
      </c>
      <c r="G266">
        <v>62.5</v>
      </c>
      <c r="J266" s="4">
        <v>10</v>
      </c>
    </row>
    <row r="267" spans="1:10">
      <c r="A267" s="102" t="s">
        <v>977</v>
      </c>
      <c r="B267" s="95">
        <v>7.5</v>
      </c>
      <c r="C267" s="95">
        <v>7.5</v>
      </c>
      <c r="D267" s="95">
        <v>13.5</v>
      </c>
      <c r="E267" s="101">
        <v>11.5</v>
      </c>
      <c r="F267">
        <v>19.5</v>
      </c>
      <c r="G267">
        <v>59.5</v>
      </c>
      <c r="J267" s="4">
        <v>11</v>
      </c>
    </row>
    <row r="268" spans="1:10">
      <c r="A268" s="102" t="s">
        <v>849</v>
      </c>
      <c r="B268" s="95">
        <v>2.5</v>
      </c>
      <c r="C268" s="95">
        <v>5.5</v>
      </c>
      <c r="D268" s="95">
        <v>20</v>
      </c>
      <c r="E268" s="101">
        <v>13.5</v>
      </c>
      <c r="F268">
        <v>16</v>
      </c>
      <c r="G268">
        <v>57.5</v>
      </c>
      <c r="J268" s="4">
        <v>12</v>
      </c>
    </row>
    <row r="269" spans="1:10">
      <c r="A269" s="102" t="s">
        <v>969</v>
      </c>
      <c r="B269" s="95">
        <v>5</v>
      </c>
      <c r="C269" s="95">
        <v>8</v>
      </c>
      <c r="D269" s="95">
        <v>16</v>
      </c>
      <c r="E269" s="101">
        <v>9</v>
      </c>
      <c r="F269">
        <v>17</v>
      </c>
      <c r="G269">
        <v>55</v>
      </c>
      <c r="J269" s="4">
        <v>13</v>
      </c>
    </row>
    <row r="270" spans="1:10">
      <c r="A270" s="102" t="s">
        <v>803</v>
      </c>
      <c r="B270" s="95">
        <v>6</v>
      </c>
      <c r="C270" s="95">
        <v>8.5</v>
      </c>
      <c r="D270" s="95">
        <v>19</v>
      </c>
      <c r="E270" s="101">
        <v>8.5</v>
      </c>
      <c r="F270">
        <v>12.5</v>
      </c>
      <c r="G270">
        <v>54.5</v>
      </c>
      <c r="J270" s="4">
        <v>14</v>
      </c>
    </row>
    <row r="271" spans="1:10">
      <c r="A271" s="102" t="s">
        <v>795</v>
      </c>
      <c r="B271" s="95">
        <v>4</v>
      </c>
      <c r="C271" s="95">
        <v>4.5</v>
      </c>
      <c r="D271" s="95">
        <v>13.5</v>
      </c>
      <c r="E271" s="101">
        <v>8</v>
      </c>
      <c r="F271">
        <v>18</v>
      </c>
      <c r="G271">
        <v>48</v>
      </c>
      <c r="J271" s="4">
        <v>15</v>
      </c>
    </row>
    <row r="272" spans="1:10">
      <c r="A272" s="102" t="s">
        <v>1008</v>
      </c>
      <c r="B272" s="95">
        <v>4.5</v>
      </c>
      <c r="C272" s="95">
        <v>5</v>
      </c>
      <c r="D272" s="95">
        <v>12.5</v>
      </c>
      <c r="E272" s="101">
        <v>12.5</v>
      </c>
      <c r="F272">
        <v>13</v>
      </c>
      <c r="G272">
        <v>47.5</v>
      </c>
      <c r="J272" s="4">
        <v>16</v>
      </c>
    </row>
    <row r="273" spans="1:12">
      <c r="A273" s="102" t="s">
        <v>853</v>
      </c>
      <c r="B273" s="95">
        <v>4.5</v>
      </c>
      <c r="C273" s="95">
        <v>4</v>
      </c>
      <c r="D273" s="95">
        <v>18.5</v>
      </c>
      <c r="E273" s="101">
        <v>12.5</v>
      </c>
      <c r="F273">
        <v>7.5</v>
      </c>
      <c r="G273">
        <v>47</v>
      </c>
      <c r="J273" s="4">
        <v>17</v>
      </c>
    </row>
    <row r="274" spans="1:12">
      <c r="A274" s="102" t="s">
        <v>886</v>
      </c>
      <c r="B274" s="95">
        <v>5</v>
      </c>
      <c r="C274" s="95">
        <v>4.5</v>
      </c>
      <c r="D274" s="95">
        <v>12</v>
      </c>
      <c r="E274" s="101">
        <v>12</v>
      </c>
      <c r="F274">
        <v>12.5</v>
      </c>
      <c r="G274">
        <v>46</v>
      </c>
      <c r="J274" s="4">
        <v>18</v>
      </c>
    </row>
    <row r="275" spans="1:12">
      <c r="A275" s="102" t="s">
        <v>1000</v>
      </c>
      <c r="B275" s="95">
        <v>4.5</v>
      </c>
      <c r="C275" s="95">
        <v>4</v>
      </c>
      <c r="D275" s="95">
        <v>12</v>
      </c>
      <c r="E275" s="101">
        <v>10.5</v>
      </c>
      <c r="F275">
        <v>15</v>
      </c>
      <c r="G275">
        <v>46</v>
      </c>
      <c r="J275" s="4">
        <v>19</v>
      </c>
    </row>
    <row r="276" spans="1:12" ht="15" thickBot="1">
      <c r="A276" s="102" t="s">
        <v>1469</v>
      </c>
      <c r="B276" s="95">
        <v>3.5</v>
      </c>
      <c r="C276" s="95">
        <v>5.5</v>
      </c>
      <c r="D276" s="95">
        <v>10.5</v>
      </c>
      <c r="E276" s="101">
        <v>13</v>
      </c>
      <c r="F276" s="60">
        <v>13</v>
      </c>
      <c r="G276">
        <v>45.5</v>
      </c>
      <c r="J276" s="4">
        <v>19</v>
      </c>
    </row>
    <row r="277" spans="1:12">
      <c r="A277" s="102" t="s">
        <v>974</v>
      </c>
      <c r="B277" s="95">
        <v>4</v>
      </c>
      <c r="C277" s="95">
        <v>7.5</v>
      </c>
      <c r="D277" s="95">
        <v>10.5</v>
      </c>
      <c r="E277" s="101">
        <v>7</v>
      </c>
      <c r="F277">
        <v>16</v>
      </c>
      <c r="G277">
        <v>45</v>
      </c>
      <c r="J277" s="4">
        <v>21</v>
      </c>
    </row>
    <row r="278" spans="1:12">
      <c r="A278" s="102" t="s">
        <v>965</v>
      </c>
      <c r="B278" s="95">
        <v>7.5</v>
      </c>
      <c r="C278" s="95">
        <v>7</v>
      </c>
      <c r="D278" s="95">
        <v>12</v>
      </c>
      <c r="E278" s="101">
        <v>6</v>
      </c>
      <c r="F278">
        <v>11.5</v>
      </c>
      <c r="G278">
        <v>44</v>
      </c>
      <c r="J278" s="4">
        <v>22</v>
      </c>
      <c r="L278" s="11"/>
    </row>
    <row r="279" spans="1:12">
      <c r="A279" s="102" t="s">
        <v>972</v>
      </c>
      <c r="B279" s="95">
        <v>4.5</v>
      </c>
      <c r="C279" s="95">
        <v>7</v>
      </c>
      <c r="D279" s="95">
        <v>10.5</v>
      </c>
      <c r="E279" s="101">
        <v>9</v>
      </c>
      <c r="F279">
        <v>13</v>
      </c>
      <c r="G279">
        <v>44</v>
      </c>
      <c r="J279" s="4">
        <v>23</v>
      </c>
      <c r="L279" s="11"/>
    </row>
    <row r="280" spans="1:12">
      <c r="A280" s="102" t="s">
        <v>893</v>
      </c>
      <c r="B280" s="95">
        <v>4</v>
      </c>
      <c r="C280" s="95">
        <v>4.5</v>
      </c>
      <c r="D280" s="95">
        <v>9.5</v>
      </c>
      <c r="E280" s="101">
        <v>9</v>
      </c>
      <c r="F280">
        <v>14.5</v>
      </c>
      <c r="G280">
        <v>41.5</v>
      </c>
      <c r="J280" s="4">
        <v>23</v>
      </c>
      <c r="L280" s="11"/>
    </row>
    <row r="281" spans="1:12">
      <c r="A281" s="102" t="s">
        <v>811</v>
      </c>
      <c r="B281" s="95">
        <v>3</v>
      </c>
      <c r="C281" s="95">
        <v>5.5</v>
      </c>
      <c r="D281" s="95">
        <v>8.5</v>
      </c>
      <c r="E281" s="101">
        <v>9.5</v>
      </c>
      <c r="F281">
        <v>15</v>
      </c>
      <c r="G281">
        <v>41.5</v>
      </c>
      <c r="J281" s="4">
        <v>25</v>
      </c>
      <c r="L281" s="11"/>
    </row>
    <row r="282" spans="1:12">
      <c r="A282" s="102" t="s">
        <v>981</v>
      </c>
      <c r="B282" s="95">
        <v>6.5</v>
      </c>
      <c r="C282" s="95">
        <v>4</v>
      </c>
      <c r="D282" s="95">
        <v>4.5</v>
      </c>
      <c r="E282" s="101">
        <v>13</v>
      </c>
      <c r="F282">
        <v>13</v>
      </c>
      <c r="G282">
        <v>41</v>
      </c>
      <c r="J282" s="4">
        <v>26</v>
      </c>
      <c r="L282" s="11"/>
    </row>
    <row r="283" spans="1:12">
      <c r="A283" s="102" t="s">
        <v>919</v>
      </c>
      <c r="B283" s="95">
        <v>4</v>
      </c>
      <c r="C283" s="95">
        <v>2.5</v>
      </c>
      <c r="D283" s="95">
        <v>14</v>
      </c>
      <c r="E283" s="101">
        <v>7</v>
      </c>
      <c r="F283">
        <v>13</v>
      </c>
      <c r="G283">
        <v>40.5</v>
      </c>
      <c r="J283" s="4">
        <v>27</v>
      </c>
      <c r="L283" s="11"/>
    </row>
    <row r="284" spans="1:12">
      <c r="A284" s="102" t="s">
        <v>862</v>
      </c>
      <c r="B284" s="95">
        <v>2.5</v>
      </c>
      <c r="C284" s="95">
        <v>5</v>
      </c>
      <c r="D284" s="95">
        <v>10.5</v>
      </c>
      <c r="E284" s="101">
        <v>10.5</v>
      </c>
      <c r="F284">
        <v>11.5</v>
      </c>
      <c r="G284">
        <v>40</v>
      </c>
      <c r="J284" s="4">
        <v>28</v>
      </c>
      <c r="L284" s="11"/>
    </row>
    <row r="285" spans="1:12">
      <c r="A285" s="102" t="s">
        <v>1021</v>
      </c>
      <c r="B285" s="95">
        <v>2</v>
      </c>
      <c r="C285" s="95">
        <v>4.5</v>
      </c>
      <c r="D285" s="95">
        <v>19</v>
      </c>
      <c r="E285" s="101">
        <v>6.5</v>
      </c>
      <c r="F285">
        <v>8</v>
      </c>
      <c r="G285">
        <v>40</v>
      </c>
      <c r="J285" s="4">
        <v>29</v>
      </c>
      <c r="L285" s="11"/>
    </row>
    <row r="286" spans="1:12" ht="15" thickBot="1">
      <c r="A286" s="102" t="s">
        <v>800</v>
      </c>
      <c r="B286" s="95">
        <v>0</v>
      </c>
      <c r="C286" s="95">
        <v>3</v>
      </c>
      <c r="D286" s="95">
        <v>17.5</v>
      </c>
      <c r="E286" s="101">
        <v>11.5</v>
      </c>
      <c r="F286" s="60">
        <v>6.5</v>
      </c>
      <c r="G286">
        <v>38.5</v>
      </c>
      <c r="J286" s="4">
        <v>29</v>
      </c>
      <c r="L286" s="11"/>
    </row>
    <row r="287" spans="1:12">
      <c r="A287" s="102" t="s">
        <v>787</v>
      </c>
      <c r="B287" s="95">
        <v>5</v>
      </c>
      <c r="C287" s="95">
        <v>2.5</v>
      </c>
      <c r="D287" s="95">
        <v>8.5</v>
      </c>
      <c r="E287" s="101">
        <v>9.5</v>
      </c>
      <c r="F287">
        <v>12.5</v>
      </c>
      <c r="G287">
        <v>38</v>
      </c>
      <c r="J287" s="4">
        <v>31</v>
      </c>
      <c r="L287" s="11"/>
    </row>
    <row r="288" spans="1:12">
      <c r="A288" s="102" t="s">
        <v>914</v>
      </c>
      <c r="B288" s="95">
        <v>6</v>
      </c>
      <c r="C288" s="95">
        <v>5.5</v>
      </c>
      <c r="D288" s="95">
        <v>10.5</v>
      </c>
      <c r="E288" s="101">
        <v>5</v>
      </c>
      <c r="F288">
        <v>11</v>
      </c>
      <c r="G288">
        <v>38</v>
      </c>
      <c r="J288" s="4">
        <v>32</v>
      </c>
      <c r="L288" s="11"/>
    </row>
    <row r="289" spans="1:12">
      <c r="A289" s="102" t="s">
        <v>883</v>
      </c>
      <c r="B289" s="95">
        <v>4</v>
      </c>
      <c r="C289" s="95">
        <v>2</v>
      </c>
      <c r="D289" s="95">
        <v>9</v>
      </c>
      <c r="E289" s="101">
        <v>12.5</v>
      </c>
      <c r="F289">
        <v>10.5</v>
      </c>
      <c r="G289">
        <v>38</v>
      </c>
      <c r="J289" s="4">
        <v>33</v>
      </c>
      <c r="L289" s="11"/>
    </row>
    <row r="290" spans="1:12">
      <c r="A290" s="102" t="s">
        <v>897</v>
      </c>
      <c r="B290" s="95">
        <v>4.5</v>
      </c>
      <c r="C290" s="95">
        <v>5</v>
      </c>
      <c r="D290" s="95">
        <v>8.5</v>
      </c>
      <c r="E290" s="101">
        <v>7.5</v>
      </c>
      <c r="F290">
        <v>11</v>
      </c>
      <c r="G290">
        <v>36.5</v>
      </c>
      <c r="J290" s="4">
        <v>34</v>
      </c>
      <c r="L290" s="11"/>
    </row>
    <row r="291" spans="1:12">
      <c r="A291" s="102" t="s">
        <v>1002</v>
      </c>
      <c r="B291" s="95">
        <v>4</v>
      </c>
      <c r="C291" s="95">
        <v>4</v>
      </c>
      <c r="D291" s="95">
        <v>7.5</v>
      </c>
      <c r="E291" s="101">
        <v>9.5</v>
      </c>
      <c r="F291">
        <v>11.5</v>
      </c>
      <c r="G291">
        <v>36.5</v>
      </c>
      <c r="J291" s="4">
        <v>34</v>
      </c>
      <c r="L291" s="11"/>
    </row>
    <row r="292" spans="1:12">
      <c r="A292" s="102" t="s">
        <v>905</v>
      </c>
      <c r="B292" s="95">
        <v>4.5</v>
      </c>
      <c r="C292" s="95">
        <v>3.5</v>
      </c>
      <c r="D292" s="95">
        <v>9</v>
      </c>
      <c r="E292" s="101">
        <v>6.5</v>
      </c>
      <c r="F292">
        <v>12.5</v>
      </c>
      <c r="G292">
        <v>36</v>
      </c>
      <c r="J292" s="4">
        <v>36</v>
      </c>
      <c r="L292" s="11"/>
    </row>
    <row r="293" spans="1:12">
      <c r="A293" s="102" t="s">
        <v>1005</v>
      </c>
      <c r="B293" s="95">
        <v>5.5</v>
      </c>
      <c r="C293" s="95">
        <v>6</v>
      </c>
      <c r="D293" s="95">
        <v>10.5</v>
      </c>
      <c r="E293" s="101">
        <v>5.5</v>
      </c>
      <c r="F293">
        <v>8</v>
      </c>
      <c r="G293">
        <v>35.5</v>
      </c>
      <c r="J293" s="4">
        <v>36</v>
      </c>
      <c r="L293" s="11"/>
    </row>
    <row r="294" spans="1:12">
      <c r="A294" s="102" t="s">
        <v>857</v>
      </c>
      <c r="B294" s="95">
        <v>4</v>
      </c>
      <c r="C294" s="95">
        <v>4</v>
      </c>
      <c r="D294" s="95">
        <v>6</v>
      </c>
      <c r="E294" s="101">
        <v>8.5</v>
      </c>
      <c r="F294">
        <v>11.5</v>
      </c>
      <c r="G294">
        <v>34</v>
      </c>
      <c r="J294" s="4">
        <v>36</v>
      </c>
      <c r="L294" s="11"/>
    </row>
    <row r="295" spans="1:12">
      <c r="A295" s="102" t="s">
        <v>927</v>
      </c>
      <c r="B295" s="95">
        <v>5</v>
      </c>
      <c r="C295" s="95">
        <v>1</v>
      </c>
      <c r="D295" s="95">
        <v>7</v>
      </c>
      <c r="E295" s="101">
        <v>9</v>
      </c>
      <c r="F295">
        <v>11.5</v>
      </c>
      <c r="G295">
        <v>33.5</v>
      </c>
      <c r="J295" s="4">
        <v>36</v>
      </c>
      <c r="L295" s="11"/>
    </row>
    <row r="296" spans="1:12">
      <c r="A296" s="102" t="s">
        <v>996</v>
      </c>
      <c r="B296" s="95">
        <v>2.5</v>
      </c>
      <c r="C296" s="95">
        <v>3</v>
      </c>
      <c r="D296" s="95">
        <v>11</v>
      </c>
      <c r="E296" s="101">
        <v>9.5</v>
      </c>
      <c r="F296">
        <v>7</v>
      </c>
      <c r="G296">
        <v>33</v>
      </c>
      <c r="J296" s="4">
        <v>40</v>
      </c>
      <c r="L296" s="11"/>
    </row>
    <row r="297" spans="1:12" ht="15" thickBot="1">
      <c r="A297" s="102" t="s">
        <v>822</v>
      </c>
      <c r="B297" s="95">
        <v>4.5</v>
      </c>
      <c r="C297" s="95">
        <v>3</v>
      </c>
      <c r="D297" s="95">
        <v>8.5</v>
      </c>
      <c r="E297" s="101">
        <v>7.5</v>
      </c>
      <c r="F297" s="60">
        <v>7.5</v>
      </c>
      <c r="G297">
        <v>31</v>
      </c>
      <c r="J297" s="4">
        <v>41</v>
      </c>
      <c r="L297" s="11"/>
    </row>
    <row r="298" spans="1:12">
      <c r="A298" s="102" t="s">
        <v>845</v>
      </c>
      <c r="B298" s="95">
        <v>3.5</v>
      </c>
      <c r="C298" s="95">
        <v>3.5</v>
      </c>
      <c r="D298" s="95">
        <v>6</v>
      </c>
      <c r="E298" s="101">
        <v>7</v>
      </c>
      <c r="F298">
        <v>10</v>
      </c>
      <c r="G298">
        <v>30</v>
      </c>
      <c r="J298" s="4">
        <v>42</v>
      </c>
      <c r="L298" s="11"/>
    </row>
    <row r="299" spans="1:12">
      <c r="A299" s="102" t="s">
        <v>909</v>
      </c>
      <c r="B299" s="95">
        <v>4</v>
      </c>
      <c r="C299" s="95">
        <v>4.5</v>
      </c>
      <c r="D299" s="95">
        <v>5.5</v>
      </c>
      <c r="E299" s="101">
        <v>7</v>
      </c>
      <c r="F299">
        <v>8</v>
      </c>
      <c r="G299">
        <v>29</v>
      </c>
      <c r="J299" s="4">
        <v>43</v>
      </c>
      <c r="L299" s="11"/>
    </row>
    <row r="300" spans="1:12">
      <c r="A300" s="102" t="s">
        <v>865</v>
      </c>
      <c r="B300" s="95">
        <v>4</v>
      </c>
      <c r="C300" s="95">
        <v>3.5</v>
      </c>
      <c r="D300" s="95">
        <v>9</v>
      </c>
      <c r="E300" s="101">
        <v>4</v>
      </c>
      <c r="F300">
        <v>8.5</v>
      </c>
      <c r="G300">
        <v>29</v>
      </c>
      <c r="J300" s="4">
        <v>43</v>
      </c>
      <c r="L300" s="11"/>
    </row>
    <row r="301" spans="1:12">
      <c r="A301" s="102" t="s">
        <v>855</v>
      </c>
      <c r="B301" s="95">
        <v>3</v>
      </c>
      <c r="C301" s="95">
        <v>4</v>
      </c>
      <c r="D301" s="95">
        <v>9</v>
      </c>
      <c r="E301" s="101">
        <v>6</v>
      </c>
      <c r="F301">
        <v>7</v>
      </c>
      <c r="G301">
        <v>29</v>
      </c>
      <c r="J301" s="4">
        <v>43</v>
      </c>
      <c r="L301" s="11"/>
    </row>
    <row r="302" spans="1:12">
      <c r="A302" s="102" t="s">
        <v>945</v>
      </c>
      <c r="B302" s="95">
        <v>4</v>
      </c>
      <c r="C302" s="95">
        <v>2.5</v>
      </c>
      <c r="D302" s="95">
        <v>7.5</v>
      </c>
      <c r="E302" s="101">
        <v>6</v>
      </c>
      <c r="F302">
        <v>8.5</v>
      </c>
      <c r="G302">
        <v>28.5</v>
      </c>
      <c r="J302" s="4">
        <v>43</v>
      </c>
      <c r="L302" s="11"/>
    </row>
    <row r="303" spans="1:12">
      <c r="A303" s="102" t="s">
        <v>881</v>
      </c>
      <c r="B303" s="95">
        <v>1.5</v>
      </c>
      <c r="C303" s="95">
        <v>0</v>
      </c>
      <c r="D303" s="95">
        <v>12</v>
      </c>
      <c r="E303" s="101">
        <v>9.5</v>
      </c>
      <c r="F303">
        <v>4</v>
      </c>
      <c r="G303">
        <v>27</v>
      </c>
      <c r="J303" s="4">
        <v>43</v>
      </c>
      <c r="L303" s="11"/>
    </row>
    <row r="304" spans="1:12">
      <c r="A304" s="102" t="s">
        <v>992</v>
      </c>
      <c r="B304" s="95">
        <v>1.5</v>
      </c>
      <c r="C304" s="95">
        <v>4.5</v>
      </c>
      <c r="D304" s="95">
        <v>6.5</v>
      </c>
      <c r="E304" s="101">
        <v>3.5</v>
      </c>
      <c r="F304">
        <v>11</v>
      </c>
      <c r="G304">
        <v>27</v>
      </c>
      <c r="J304" s="4">
        <v>48</v>
      </c>
      <c r="L304" s="11"/>
    </row>
    <row r="305" spans="1:12">
      <c r="A305" s="102" t="s">
        <v>937</v>
      </c>
      <c r="B305" s="95">
        <v>1</v>
      </c>
      <c r="C305" s="95">
        <v>4.5</v>
      </c>
      <c r="D305" s="95">
        <v>7</v>
      </c>
      <c r="E305" s="101">
        <v>3</v>
      </c>
      <c r="F305">
        <v>10.5</v>
      </c>
      <c r="G305">
        <v>26</v>
      </c>
      <c r="J305" s="4">
        <v>48</v>
      </c>
      <c r="L305" s="11"/>
    </row>
    <row r="306" spans="1:12" ht="15" thickBot="1">
      <c r="A306" s="102" t="s">
        <v>1018</v>
      </c>
      <c r="B306" s="95">
        <v>0</v>
      </c>
      <c r="C306" s="95">
        <v>2.5</v>
      </c>
      <c r="D306" s="95">
        <v>8</v>
      </c>
      <c r="E306" s="101">
        <v>9.5</v>
      </c>
      <c r="F306" s="60">
        <v>6</v>
      </c>
      <c r="G306">
        <v>26</v>
      </c>
      <c r="J306" s="4">
        <v>50</v>
      </c>
      <c r="L306" s="11"/>
    </row>
    <row r="307" spans="1:12">
      <c r="A307" s="102" t="s">
        <v>1024</v>
      </c>
      <c r="B307" s="95">
        <v>4.5</v>
      </c>
      <c r="C307" s="95">
        <v>4.5</v>
      </c>
      <c r="D307" s="95">
        <v>6.5</v>
      </c>
      <c r="E307" s="101">
        <v>3</v>
      </c>
      <c r="F307">
        <v>7</v>
      </c>
      <c r="G307">
        <v>25.5</v>
      </c>
      <c r="J307" s="4">
        <v>51</v>
      </c>
      <c r="L307" s="11"/>
    </row>
    <row r="308" spans="1:12">
      <c r="A308" s="102" t="s">
        <v>998</v>
      </c>
      <c r="B308" s="95">
        <v>2</v>
      </c>
      <c r="C308" s="95">
        <v>0</v>
      </c>
      <c r="D308" s="95">
        <v>9</v>
      </c>
      <c r="E308" s="101">
        <v>6.5</v>
      </c>
      <c r="F308">
        <v>8</v>
      </c>
      <c r="G308">
        <v>25.5</v>
      </c>
      <c r="J308" s="4">
        <v>51</v>
      </c>
      <c r="L308" s="11"/>
    </row>
    <row r="309" spans="1:12">
      <c r="A309" s="102" t="s">
        <v>834</v>
      </c>
      <c r="B309" s="95">
        <v>2</v>
      </c>
      <c r="C309" s="95">
        <v>1</v>
      </c>
      <c r="D309" s="95">
        <v>6.5</v>
      </c>
      <c r="E309" s="101">
        <v>8</v>
      </c>
      <c r="F309">
        <v>7.5</v>
      </c>
      <c r="G309">
        <v>25</v>
      </c>
      <c r="J309" s="4">
        <v>51</v>
      </c>
      <c r="L309" s="11"/>
    </row>
    <row r="310" spans="1:12">
      <c r="A310" s="103" t="s">
        <v>940</v>
      </c>
      <c r="B310" s="95">
        <v>0.5</v>
      </c>
      <c r="C310" s="95">
        <v>4</v>
      </c>
      <c r="D310" s="95">
        <v>6</v>
      </c>
      <c r="E310" s="101">
        <v>7</v>
      </c>
      <c r="F310">
        <v>7.5</v>
      </c>
      <c r="G310">
        <v>25</v>
      </c>
      <c r="J310" s="4">
        <v>51</v>
      </c>
      <c r="L310" s="11"/>
    </row>
    <row r="311" spans="1:12">
      <c r="A311" s="102" t="s">
        <v>1049</v>
      </c>
      <c r="B311" s="95">
        <v>3</v>
      </c>
      <c r="C311" s="95">
        <v>0.5</v>
      </c>
      <c r="D311" s="95">
        <v>7</v>
      </c>
      <c r="E311" s="101">
        <v>9.5</v>
      </c>
      <c r="F311">
        <v>4.5</v>
      </c>
      <c r="G311">
        <v>24.5</v>
      </c>
      <c r="J311" s="4">
        <v>55</v>
      </c>
      <c r="L311" s="11"/>
    </row>
    <row r="312" spans="1:12">
      <c r="A312" s="102" t="s">
        <v>947</v>
      </c>
      <c r="B312" s="95">
        <v>3</v>
      </c>
      <c r="C312" s="95">
        <v>3.5</v>
      </c>
      <c r="D312" s="95">
        <v>5</v>
      </c>
      <c r="E312" s="101">
        <v>7.5</v>
      </c>
      <c r="F312">
        <v>5.5</v>
      </c>
      <c r="G312">
        <v>24.5</v>
      </c>
      <c r="J312" s="4">
        <v>55</v>
      </c>
      <c r="L312" s="11"/>
    </row>
    <row r="313" spans="1:12">
      <c r="A313" s="102" t="s">
        <v>807</v>
      </c>
      <c r="B313" s="95">
        <v>2.5</v>
      </c>
      <c r="C313" s="95">
        <v>0</v>
      </c>
      <c r="D313" s="95">
        <v>10</v>
      </c>
      <c r="E313" s="101">
        <v>9.5</v>
      </c>
      <c r="F313">
        <v>2</v>
      </c>
      <c r="G313">
        <v>24</v>
      </c>
      <c r="J313" s="4">
        <v>55</v>
      </c>
      <c r="L313" s="11"/>
    </row>
    <row r="314" spans="1:12">
      <c r="A314" s="102" t="s">
        <v>859</v>
      </c>
      <c r="B314" s="95">
        <v>0.5</v>
      </c>
      <c r="C314" s="95">
        <v>1.5</v>
      </c>
      <c r="D314" s="95">
        <v>17.5</v>
      </c>
      <c r="E314" s="101">
        <v>2</v>
      </c>
      <c r="F314">
        <v>2</v>
      </c>
      <c r="G314">
        <v>23.5</v>
      </c>
      <c r="J314" s="4">
        <v>58</v>
      </c>
      <c r="L314" s="11"/>
    </row>
    <row r="315" spans="1:12">
      <c r="A315" s="102" t="s">
        <v>924</v>
      </c>
      <c r="B315" s="95">
        <v>0.5</v>
      </c>
      <c r="C315" s="95">
        <v>3.5</v>
      </c>
      <c r="D315" s="95">
        <v>6</v>
      </c>
      <c r="E315" s="101">
        <v>4</v>
      </c>
      <c r="F315">
        <v>9</v>
      </c>
      <c r="G315">
        <v>23</v>
      </c>
      <c r="J315" s="4">
        <v>58</v>
      </c>
      <c r="L315" s="11"/>
    </row>
    <row r="316" spans="1:12" ht="15" thickBot="1">
      <c r="A316" s="102" t="s">
        <v>932</v>
      </c>
      <c r="B316" s="95">
        <v>1</v>
      </c>
      <c r="C316" s="95">
        <v>3</v>
      </c>
      <c r="D316" s="95">
        <v>5.5</v>
      </c>
      <c r="E316" s="101">
        <v>5.5</v>
      </c>
      <c r="F316" s="60">
        <v>7.5</v>
      </c>
      <c r="G316">
        <v>22.5</v>
      </c>
      <c r="J316" s="4">
        <v>60</v>
      </c>
      <c r="L316" s="11"/>
    </row>
    <row r="317" spans="1:12">
      <c r="A317" s="102" t="s">
        <v>991</v>
      </c>
      <c r="B317" s="95">
        <v>0.5</v>
      </c>
      <c r="C317" s="95">
        <v>2</v>
      </c>
      <c r="D317" s="95">
        <v>13.5</v>
      </c>
      <c r="E317" s="101">
        <v>0.5</v>
      </c>
      <c r="F317">
        <v>5.5</v>
      </c>
      <c r="G317">
        <v>22</v>
      </c>
      <c r="J317" s="4">
        <v>60</v>
      </c>
      <c r="L317" s="11"/>
    </row>
    <row r="318" spans="1:12">
      <c r="A318" s="102" t="s">
        <v>875</v>
      </c>
      <c r="B318" s="95">
        <v>1.5</v>
      </c>
      <c r="C318" s="95">
        <v>1</v>
      </c>
      <c r="D318" s="95">
        <v>5.5</v>
      </c>
      <c r="E318" s="101">
        <v>6.5</v>
      </c>
      <c r="F318">
        <v>7.5</v>
      </c>
      <c r="G318">
        <v>22</v>
      </c>
      <c r="J318" s="4">
        <v>62</v>
      </c>
      <c r="L318" s="11"/>
    </row>
    <row r="319" spans="1:12">
      <c r="A319" s="102" t="s">
        <v>967</v>
      </c>
      <c r="B319" s="95">
        <v>0</v>
      </c>
      <c r="C319" s="95">
        <v>0.5</v>
      </c>
      <c r="D319" s="95">
        <v>9</v>
      </c>
      <c r="E319" s="101">
        <v>9</v>
      </c>
      <c r="F319">
        <v>3.5</v>
      </c>
      <c r="G319">
        <v>22</v>
      </c>
      <c r="J319" s="4">
        <v>62</v>
      </c>
      <c r="L319" s="11"/>
    </row>
    <row r="320" spans="1:12">
      <c r="A320" s="102" t="s">
        <v>899</v>
      </c>
      <c r="B320" s="95">
        <v>2.5</v>
      </c>
      <c r="C320" s="95">
        <v>4</v>
      </c>
      <c r="D320" s="95">
        <v>1.5</v>
      </c>
      <c r="E320" s="101">
        <v>7</v>
      </c>
      <c r="F320">
        <v>6.5</v>
      </c>
      <c r="G320">
        <v>21.5</v>
      </c>
      <c r="J320" s="4">
        <v>64</v>
      </c>
      <c r="L320" s="11"/>
    </row>
    <row r="321" spans="1:14">
      <c r="A321" s="102" t="s">
        <v>988</v>
      </c>
      <c r="B321" s="95">
        <v>2.5</v>
      </c>
      <c r="C321" s="95">
        <v>2.5</v>
      </c>
      <c r="D321" s="95">
        <v>4</v>
      </c>
      <c r="E321" s="101">
        <v>6</v>
      </c>
      <c r="F321">
        <v>6.5</v>
      </c>
      <c r="G321">
        <v>21.5</v>
      </c>
      <c r="J321" s="4">
        <v>65</v>
      </c>
      <c r="L321" s="11"/>
    </row>
    <row r="322" spans="1:14">
      <c r="A322" s="102" t="s">
        <v>872</v>
      </c>
      <c r="B322" s="95">
        <v>0</v>
      </c>
      <c r="C322" s="95">
        <v>4</v>
      </c>
      <c r="D322" s="95">
        <v>8.5</v>
      </c>
      <c r="E322" s="101">
        <v>5.5</v>
      </c>
      <c r="F322">
        <v>3</v>
      </c>
      <c r="G322">
        <v>21</v>
      </c>
      <c r="J322" s="4">
        <v>66</v>
      </c>
      <c r="L322" s="11"/>
    </row>
    <row r="323" spans="1:14">
      <c r="A323" s="102" t="s">
        <v>1026</v>
      </c>
      <c r="B323" s="95">
        <v>0</v>
      </c>
      <c r="C323" s="95">
        <v>0</v>
      </c>
      <c r="D323" s="95">
        <v>8</v>
      </c>
      <c r="E323" s="101">
        <v>8.5</v>
      </c>
      <c r="F323">
        <v>4</v>
      </c>
      <c r="G323">
        <v>20.5</v>
      </c>
      <c r="J323" s="4">
        <v>66</v>
      </c>
      <c r="L323" s="11"/>
    </row>
    <row r="324" spans="1:14">
      <c r="A324" s="102" t="s">
        <v>948</v>
      </c>
      <c r="B324" s="95">
        <v>1</v>
      </c>
      <c r="C324" s="95">
        <v>4.5</v>
      </c>
      <c r="D324" s="95">
        <v>4</v>
      </c>
      <c r="E324" s="101">
        <v>3.5</v>
      </c>
      <c r="F324">
        <v>7.5</v>
      </c>
      <c r="G324">
        <v>20.5</v>
      </c>
      <c r="J324" s="4">
        <v>68</v>
      </c>
      <c r="L324" s="11"/>
    </row>
    <row r="325" spans="1:14">
      <c r="A325" s="102" t="s">
        <v>934</v>
      </c>
      <c r="B325" s="95">
        <v>2</v>
      </c>
      <c r="C325" s="95">
        <v>0.5</v>
      </c>
      <c r="D325" s="95">
        <v>6</v>
      </c>
      <c r="E325" s="101">
        <v>5</v>
      </c>
      <c r="F325">
        <v>5</v>
      </c>
      <c r="G325">
        <v>18.5</v>
      </c>
      <c r="J325" s="4">
        <v>68</v>
      </c>
      <c r="L325" s="11"/>
    </row>
    <row r="326" spans="1:14">
      <c r="A326" s="102" t="s">
        <v>830</v>
      </c>
      <c r="B326" s="95">
        <v>2</v>
      </c>
      <c r="C326" s="95">
        <v>1</v>
      </c>
      <c r="D326" s="95">
        <v>4</v>
      </c>
      <c r="E326" s="101">
        <v>5.5</v>
      </c>
      <c r="F326">
        <v>6</v>
      </c>
      <c r="G326">
        <v>18.5</v>
      </c>
      <c r="J326" s="4">
        <v>70</v>
      </c>
      <c r="L326" s="11"/>
    </row>
    <row r="327" spans="1:14" ht="15" thickBot="1">
      <c r="A327" s="102" t="s">
        <v>1034</v>
      </c>
      <c r="B327" s="95">
        <v>2</v>
      </c>
      <c r="C327" s="95">
        <v>0.5</v>
      </c>
      <c r="D327" s="95">
        <v>7.5</v>
      </c>
      <c r="E327" s="101">
        <v>2</v>
      </c>
      <c r="F327" s="60">
        <v>5.5</v>
      </c>
      <c r="G327">
        <v>17.5</v>
      </c>
      <c r="J327" s="4">
        <v>70</v>
      </c>
      <c r="L327" s="11"/>
    </row>
    <row r="328" spans="1:14">
      <c r="A328" s="102" t="s">
        <v>880</v>
      </c>
      <c r="B328" s="95">
        <v>0.5</v>
      </c>
      <c r="C328" s="95">
        <v>0.5</v>
      </c>
      <c r="D328" s="95">
        <v>5.5</v>
      </c>
      <c r="E328" s="101">
        <v>4.5</v>
      </c>
      <c r="F328">
        <v>6.5</v>
      </c>
      <c r="G328">
        <v>17.5</v>
      </c>
      <c r="J328" s="4">
        <v>72</v>
      </c>
      <c r="L328" s="11"/>
    </row>
    <row r="329" spans="1:14">
      <c r="A329" s="102" t="s">
        <v>953</v>
      </c>
      <c r="B329" s="95">
        <v>0.5</v>
      </c>
      <c r="C329" s="95">
        <v>0.5</v>
      </c>
      <c r="D329" s="95">
        <v>6.5</v>
      </c>
      <c r="E329" s="101">
        <v>3.5</v>
      </c>
      <c r="F329">
        <v>5</v>
      </c>
      <c r="G329">
        <v>16</v>
      </c>
      <c r="J329" s="4">
        <v>72</v>
      </c>
      <c r="L329" s="11"/>
    </row>
    <row r="330" spans="1:14">
      <c r="A330" s="102" t="s">
        <v>1027</v>
      </c>
      <c r="B330" s="95">
        <v>0.5</v>
      </c>
      <c r="C330" s="95">
        <v>0</v>
      </c>
      <c r="D330" s="95">
        <v>4</v>
      </c>
      <c r="E330" s="101">
        <v>6.5</v>
      </c>
      <c r="F330">
        <v>4.5</v>
      </c>
      <c r="G330">
        <v>15.5</v>
      </c>
      <c r="J330" s="4">
        <v>74</v>
      </c>
      <c r="L330" s="11"/>
    </row>
    <row r="331" spans="1:14" ht="15" thickBot="1">
      <c r="A331" s="104" t="s">
        <v>1038</v>
      </c>
      <c r="B331" s="95">
        <v>3</v>
      </c>
      <c r="C331" s="95">
        <v>1</v>
      </c>
      <c r="D331" s="95">
        <v>5.5</v>
      </c>
      <c r="E331" s="101">
        <v>2.5</v>
      </c>
      <c r="F331" s="60">
        <v>3</v>
      </c>
      <c r="G331">
        <v>15</v>
      </c>
      <c r="J331" s="4">
        <v>75</v>
      </c>
      <c r="L331" s="11"/>
    </row>
    <row r="332" spans="1:14">
      <c r="A332" t="s">
        <v>868</v>
      </c>
      <c r="B332">
        <v>0</v>
      </c>
      <c r="C332">
        <v>1.5</v>
      </c>
      <c r="D332">
        <v>3.5</v>
      </c>
      <c r="E332">
        <v>5</v>
      </c>
      <c r="F332">
        <v>4.5</v>
      </c>
      <c r="G332">
        <v>14.5</v>
      </c>
      <c r="J332">
        <v>76</v>
      </c>
      <c r="N332" s="11"/>
    </row>
    <row r="333" spans="1:14">
      <c r="A333" t="s">
        <v>878</v>
      </c>
      <c r="B333">
        <v>1.5</v>
      </c>
      <c r="C333">
        <v>0.5</v>
      </c>
      <c r="D333">
        <v>4</v>
      </c>
      <c r="E333">
        <v>5</v>
      </c>
      <c r="F333">
        <v>3</v>
      </c>
      <c r="G333">
        <v>14</v>
      </c>
      <c r="J333">
        <v>76</v>
      </c>
      <c r="N333" s="11"/>
    </row>
    <row r="334" spans="1:14">
      <c r="A334" t="s">
        <v>1031</v>
      </c>
      <c r="B334">
        <v>0</v>
      </c>
      <c r="C334">
        <v>1</v>
      </c>
      <c r="D334">
        <v>4</v>
      </c>
      <c r="E334">
        <v>5</v>
      </c>
      <c r="F334">
        <v>4</v>
      </c>
      <c r="G334">
        <v>14</v>
      </c>
      <c r="J334">
        <v>78</v>
      </c>
      <c r="N334" s="11"/>
    </row>
    <row r="335" spans="1:14">
      <c r="A335" t="s">
        <v>842</v>
      </c>
      <c r="B335">
        <v>2</v>
      </c>
      <c r="C335">
        <v>2</v>
      </c>
      <c r="D335">
        <v>2</v>
      </c>
      <c r="E335">
        <v>2</v>
      </c>
      <c r="F335">
        <v>5</v>
      </c>
      <c r="G335">
        <v>13</v>
      </c>
      <c r="J335">
        <v>79</v>
      </c>
      <c r="N335" s="11"/>
    </row>
    <row r="336" spans="1:14">
      <c r="A336" t="s">
        <v>903</v>
      </c>
      <c r="B336">
        <v>0.5</v>
      </c>
      <c r="C336">
        <v>1</v>
      </c>
      <c r="D336">
        <v>3</v>
      </c>
      <c r="E336">
        <v>2</v>
      </c>
      <c r="F336">
        <v>6</v>
      </c>
      <c r="G336">
        <v>12.5</v>
      </c>
      <c r="J336">
        <v>80</v>
      </c>
      <c r="N336" s="11"/>
    </row>
    <row r="337" spans="1:14">
      <c r="A337" t="s">
        <v>1029</v>
      </c>
      <c r="B337">
        <v>0</v>
      </c>
      <c r="C337">
        <v>1.5</v>
      </c>
      <c r="D337">
        <v>3.5</v>
      </c>
      <c r="E337">
        <v>2</v>
      </c>
      <c r="F337">
        <v>4.5</v>
      </c>
      <c r="G337">
        <v>11.5</v>
      </c>
      <c r="J337">
        <v>81</v>
      </c>
      <c r="N337" s="11"/>
    </row>
    <row r="338" spans="1:14">
      <c r="A338" t="s">
        <v>889</v>
      </c>
      <c r="B338">
        <v>0</v>
      </c>
      <c r="C338">
        <v>0</v>
      </c>
      <c r="D338">
        <v>7.5</v>
      </c>
      <c r="E338">
        <v>1</v>
      </c>
      <c r="F338">
        <v>2.5</v>
      </c>
      <c r="G338">
        <v>11</v>
      </c>
      <c r="J338">
        <v>82</v>
      </c>
      <c r="N338" s="11"/>
    </row>
    <row r="339" spans="1:14">
      <c r="A339" t="s">
        <v>1036</v>
      </c>
      <c r="B339">
        <v>1</v>
      </c>
      <c r="C339">
        <v>0.5</v>
      </c>
      <c r="D339">
        <v>0.5</v>
      </c>
      <c r="E339">
        <v>5.5</v>
      </c>
      <c r="F339">
        <v>3.5</v>
      </c>
      <c r="G339">
        <v>11</v>
      </c>
      <c r="J339">
        <v>83</v>
      </c>
      <c r="N339" s="11"/>
    </row>
    <row r="340" spans="1:14">
      <c r="A340" t="s">
        <v>957</v>
      </c>
      <c r="B340">
        <v>0.5</v>
      </c>
      <c r="C340">
        <v>0</v>
      </c>
      <c r="D340">
        <v>0.5</v>
      </c>
      <c r="E340">
        <v>2.5</v>
      </c>
      <c r="F340">
        <v>7</v>
      </c>
      <c r="G340">
        <v>10.5</v>
      </c>
      <c r="J340">
        <v>83</v>
      </c>
      <c r="N340" s="11"/>
    </row>
    <row r="341" spans="1:14">
      <c r="A341" t="s">
        <v>783</v>
      </c>
      <c r="B341">
        <v>0</v>
      </c>
      <c r="C341">
        <v>1</v>
      </c>
      <c r="D341">
        <v>3</v>
      </c>
      <c r="E341">
        <v>3.5</v>
      </c>
      <c r="F341">
        <v>3</v>
      </c>
      <c r="G341">
        <v>10.5</v>
      </c>
      <c r="J341">
        <v>85</v>
      </c>
      <c r="N341" s="11"/>
    </row>
    <row r="342" spans="1:14">
      <c r="A342" t="s">
        <v>818</v>
      </c>
      <c r="B342">
        <v>1.5</v>
      </c>
      <c r="C342">
        <v>0.5</v>
      </c>
      <c r="D342">
        <v>3</v>
      </c>
      <c r="E342">
        <v>0.5</v>
      </c>
      <c r="F342">
        <v>4.5</v>
      </c>
      <c r="G342">
        <v>10</v>
      </c>
      <c r="J342">
        <v>86</v>
      </c>
      <c r="N342" s="11"/>
    </row>
    <row r="343" spans="1:14">
      <c r="A343" t="s">
        <v>1048</v>
      </c>
      <c r="B343">
        <v>1</v>
      </c>
      <c r="C343">
        <v>0</v>
      </c>
      <c r="D343">
        <v>0.5</v>
      </c>
      <c r="E343">
        <v>5</v>
      </c>
      <c r="F343">
        <v>3</v>
      </c>
      <c r="G343">
        <v>9.5</v>
      </c>
      <c r="J343">
        <v>86</v>
      </c>
      <c r="N343" s="11"/>
    </row>
    <row r="344" spans="1:14">
      <c r="A344" t="s">
        <v>791</v>
      </c>
      <c r="B344">
        <v>0</v>
      </c>
      <c r="C344">
        <v>0</v>
      </c>
      <c r="D344">
        <v>3.5</v>
      </c>
      <c r="E344">
        <v>3.5</v>
      </c>
      <c r="F344">
        <v>2</v>
      </c>
      <c r="G344">
        <v>9</v>
      </c>
      <c r="J344">
        <v>88</v>
      </c>
      <c r="N344" s="11"/>
    </row>
    <row r="345" spans="1:14">
      <c r="A345" t="s">
        <v>961</v>
      </c>
      <c r="B345">
        <v>0</v>
      </c>
      <c r="C345">
        <v>0.5</v>
      </c>
      <c r="D345">
        <v>1</v>
      </c>
      <c r="E345">
        <v>0</v>
      </c>
      <c r="F345">
        <v>6.5</v>
      </c>
      <c r="G345">
        <v>8</v>
      </c>
      <c r="J345">
        <v>89</v>
      </c>
      <c r="N345" s="11"/>
    </row>
    <row r="346" spans="1:14">
      <c r="A346" t="s">
        <v>861</v>
      </c>
      <c r="B346">
        <v>0</v>
      </c>
      <c r="C346">
        <v>1.5</v>
      </c>
      <c r="D346">
        <v>1</v>
      </c>
      <c r="E346">
        <v>2.5</v>
      </c>
      <c r="F346">
        <v>2.5</v>
      </c>
      <c r="G346">
        <v>7.5</v>
      </c>
      <c r="J346">
        <v>89</v>
      </c>
      <c r="N346" s="11"/>
    </row>
    <row r="347" spans="1:14">
      <c r="A347" t="s">
        <v>885</v>
      </c>
      <c r="B347">
        <v>0.5</v>
      </c>
      <c r="C347">
        <v>0</v>
      </c>
      <c r="D347">
        <v>2</v>
      </c>
      <c r="E347">
        <v>2</v>
      </c>
      <c r="F347">
        <v>3</v>
      </c>
      <c r="G347">
        <v>7.5</v>
      </c>
      <c r="J347">
        <v>91</v>
      </c>
      <c r="N347" s="11"/>
    </row>
    <row r="348" spans="1:14">
      <c r="A348" t="s">
        <v>912</v>
      </c>
      <c r="B348">
        <v>0</v>
      </c>
      <c r="C348">
        <v>0.5</v>
      </c>
      <c r="D348">
        <v>3</v>
      </c>
      <c r="E348">
        <v>0.5</v>
      </c>
      <c r="F348">
        <v>3.5</v>
      </c>
      <c r="G348">
        <v>7.5</v>
      </c>
      <c r="J348">
        <v>91</v>
      </c>
      <c r="N348" s="11"/>
    </row>
    <row r="349" spans="1:14">
      <c r="A349" t="s">
        <v>1011</v>
      </c>
      <c r="B349">
        <v>0</v>
      </c>
      <c r="C349">
        <v>0</v>
      </c>
      <c r="D349">
        <v>6</v>
      </c>
      <c r="E349">
        <v>0</v>
      </c>
      <c r="F349">
        <v>1</v>
      </c>
      <c r="G349">
        <v>7</v>
      </c>
      <c r="J349">
        <v>93</v>
      </c>
      <c r="N349" s="11"/>
    </row>
    <row r="350" spans="1:14">
      <c r="A350" t="s">
        <v>915</v>
      </c>
      <c r="B350">
        <v>0</v>
      </c>
      <c r="C350">
        <v>0.5</v>
      </c>
      <c r="D350">
        <v>0.5</v>
      </c>
      <c r="E350">
        <v>2.5</v>
      </c>
      <c r="F350">
        <v>2.5</v>
      </c>
      <c r="G350">
        <v>6</v>
      </c>
      <c r="J350">
        <v>93</v>
      </c>
      <c r="N350" s="11"/>
    </row>
    <row r="351" spans="1:14">
      <c r="A351" t="s">
        <v>799</v>
      </c>
      <c r="B351">
        <v>0</v>
      </c>
      <c r="C351">
        <v>0</v>
      </c>
      <c r="D351">
        <v>1.5</v>
      </c>
      <c r="E351">
        <v>2.5</v>
      </c>
      <c r="F351">
        <v>1.5</v>
      </c>
      <c r="G351">
        <v>5.5</v>
      </c>
      <c r="J351">
        <v>95</v>
      </c>
      <c r="N351" s="11"/>
    </row>
    <row r="352" spans="1:14">
      <c r="A352" t="s">
        <v>984</v>
      </c>
      <c r="B352">
        <v>0</v>
      </c>
      <c r="C352">
        <v>1</v>
      </c>
      <c r="D352">
        <v>1.5</v>
      </c>
      <c r="E352">
        <v>1</v>
      </c>
      <c r="F352">
        <v>2</v>
      </c>
      <c r="G352">
        <v>5.5</v>
      </c>
      <c r="J352">
        <v>96</v>
      </c>
      <c r="N352" s="11"/>
    </row>
    <row r="353" spans="1:14">
      <c r="A353" t="s">
        <v>930</v>
      </c>
      <c r="B353">
        <v>0</v>
      </c>
      <c r="C353">
        <v>0</v>
      </c>
      <c r="D353">
        <v>3.5</v>
      </c>
      <c r="E353">
        <v>1</v>
      </c>
      <c r="F353">
        <v>0.5</v>
      </c>
      <c r="G353">
        <v>5</v>
      </c>
      <c r="J353">
        <v>97</v>
      </c>
      <c r="N353" s="11"/>
    </row>
    <row r="354" spans="1:14">
      <c r="A354" t="s">
        <v>838</v>
      </c>
      <c r="B354">
        <v>0.5</v>
      </c>
      <c r="C354">
        <v>0</v>
      </c>
      <c r="D354">
        <v>2.5</v>
      </c>
      <c r="E354">
        <v>0.5</v>
      </c>
      <c r="F354">
        <v>1</v>
      </c>
      <c r="G354">
        <v>4.5</v>
      </c>
      <c r="J354">
        <v>97</v>
      </c>
    </row>
    <row r="355" spans="1:14">
      <c r="A355" t="s">
        <v>1044</v>
      </c>
      <c r="B355">
        <v>1.5</v>
      </c>
      <c r="C355">
        <v>0</v>
      </c>
      <c r="D355">
        <v>0</v>
      </c>
      <c r="E355">
        <v>1.5</v>
      </c>
      <c r="F355">
        <v>1</v>
      </c>
      <c r="G355">
        <v>4</v>
      </c>
      <c r="J355">
        <v>99</v>
      </c>
    </row>
    <row r="356" spans="1:14">
      <c r="A356" t="s">
        <v>815</v>
      </c>
      <c r="B356">
        <v>0</v>
      </c>
      <c r="C356">
        <v>0</v>
      </c>
      <c r="D356">
        <v>1</v>
      </c>
      <c r="E356">
        <v>1</v>
      </c>
      <c r="F356">
        <v>1.5</v>
      </c>
      <c r="G356">
        <v>3.5</v>
      </c>
      <c r="J356">
        <v>100</v>
      </c>
    </row>
  </sheetData>
  <sortState xmlns:xlrd2="http://schemas.microsoft.com/office/spreadsheetml/2017/richdata2" ref="A257:F331">
    <sortCondition descending="1" ref="E257"/>
  </sortState>
  <customSheetViews>
    <customSheetView guid="{52A26A5D-FD00-480B-943F-DB06B537D6D8}" state="hidden">
      <selection activeCell="C20" sqref="C20"/>
      <pageMargins left="0" right="0" top="0" bottom="0" header="0" footer="0"/>
      <pageSetup orientation="portrait" r:id="rId1"/>
    </customSheetView>
    <customSheetView guid="{EF22FA0B-F747-41C1-93DE-56651BBC6020}" state="hidden" topLeftCell="A91">
      <selection activeCell="F162" sqref="F162"/>
      <pageMargins left="0" right="0" top="0" bottom="0" header="0" footer="0"/>
      <pageSetup orientation="portrait" r:id="rId2"/>
    </customSheetView>
  </customSheetViews>
  <pageMargins left="0.7" right="0.7" top="0.75" bottom="0.75" header="0.3" footer="0.3"/>
  <pageSetup orientation="portrait" r:id="rId3"/>
  <drawing r:id="rId4"/>
  <legacy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C2:J91"/>
  <sheetViews>
    <sheetView topLeftCell="B1" zoomScale="75" zoomScaleNormal="75" workbookViewId="0">
      <pane xSplit="1" topLeftCell="C1" activePane="topRight" state="frozen"/>
      <selection activeCell="B1" sqref="B1"/>
      <selection pane="topRight" activeCell="S36" sqref="S36"/>
    </sheetView>
  </sheetViews>
  <sheetFormatPr defaultColWidth="8.81640625" defaultRowHeight="14.5" outlineLevelRow="1"/>
  <cols>
    <col min="1" max="2" width="5" customWidth="1"/>
    <col min="3" max="3" width="59.453125" customWidth="1"/>
    <col min="4" max="5" width="15.1796875" customWidth="1"/>
    <col min="6" max="6" width="9" customWidth="1"/>
    <col min="7" max="7" width="16.26953125" customWidth="1"/>
    <col min="8" max="8" width="14.453125" customWidth="1"/>
    <col min="9" max="9" width="9.1796875" customWidth="1"/>
    <col min="11" max="11" width="13.453125" customWidth="1"/>
    <col min="12" max="12" width="15.453125" customWidth="1"/>
  </cols>
  <sheetData>
    <row r="2" spans="3:10" ht="15.25" customHeight="1" thickBot="1"/>
    <row r="3" spans="3:10" ht="42" customHeight="1">
      <c r="C3" s="622" t="s">
        <v>718</v>
      </c>
      <c r="D3" s="623"/>
      <c r="E3" s="623"/>
      <c r="F3" s="623"/>
      <c r="G3" s="623"/>
      <c r="H3" s="624"/>
    </row>
    <row r="4" spans="3:10" s="1" customFormat="1" ht="65.25" customHeight="1">
      <c r="C4" s="42"/>
      <c r="D4" s="18" t="s">
        <v>719</v>
      </c>
      <c r="E4" s="18" t="s">
        <v>1470</v>
      </c>
      <c r="F4" s="20"/>
      <c r="G4" s="19" t="s">
        <v>1471</v>
      </c>
      <c r="H4" s="18" t="s">
        <v>1472</v>
      </c>
      <c r="I4"/>
    </row>
    <row r="5" spans="3:10" s="1" customFormat="1">
      <c r="C5" s="43" t="s">
        <v>721</v>
      </c>
      <c r="D5" s="55">
        <v>100</v>
      </c>
      <c r="E5" s="55">
        <v>38.5</v>
      </c>
      <c r="F5" s="57"/>
      <c r="G5" s="59">
        <v>56</v>
      </c>
      <c r="H5" s="59">
        <v>53.5</v>
      </c>
      <c r="I5"/>
    </row>
    <row r="6" spans="3:10" s="1" customFormat="1" outlineLevel="1">
      <c r="C6" s="43" t="s">
        <v>103</v>
      </c>
      <c r="D6" s="55">
        <v>10</v>
      </c>
      <c r="E6" s="55">
        <v>6</v>
      </c>
      <c r="F6" s="57"/>
      <c r="G6" s="56">
        <v>8.5</v>
      </c>
      <c r="H6" s="56">
        <v>5</v>
      </c>
      <c r="I6"/>
    </row>
    <row r="7" spans="3:10" s="1" customFormat="1" outlineLevel="1">
      <c r="C7" s="48" t="s">
        <v>1473</v>
      </c>
      <c r="D7" s="58">
        <v>4.5</v>
      </c>
      <c r="E7" s="58">
        <v>3</v>
      </c>
      <c r="F7" s="57"/>
      <c r="G7" s="58">
        <v>3.5</v>
      </c>
      <c r="H7" s="58">
        <v>0</v>
      </c>
      <c r="I7"/>
    </row>
    <row r="8" spans="3:10" s="1" customFormat="1" outlineLevel="1">
      <c r="C8" s="49" t="s">
        <v>1474</v>
      </c>
      <c r="D8" s="8">
        <v>2</v>
      </c>
      <c r="E8" s="8">
        <v>1.5</v>
      </c>
      <c r="F8" s="57"/>
      <c r="G8" s="54">
        <v>1.5</v>
      </c>
      <c r="H8" s="54" t="s">
        <v>1475</v>
      </c>
      <c r="I8"/>
    </row>
    <row r="9" spans="3:10" s="1" customFormat="1" outlineLevel="1">
      <c r="C9" s="49" t="s">
        <v>671</v>
      </c>
      <c r="D9" s="8">
        <v>1</v>
      </c>
      <c r="E9" s="8">
        <v>0.5</v>
      </c>
      <c r="F9" s="57"/>
      <c r="G9" s="54">
        <v>0.5</v>
      </c>
      <c r="H9" s="54" t="s">
        <v>1475</v>
      </c>
      <c r="I9"/>
    </row>
    <row r="10" spans="3:10" s="1" customFormat="1" outlineLevel="1">
      <c r="C10" s="49" t="s">
        <v>1476</v>
      </c>
      <c r="D10" s="8">
        <v>0.5</v>
      </c>
      <c r="E10" s="8">
        <v>0.5</v>
      </c>
      <c r="F10" s="57"/>
      <c r="G10" s="54">
        <v>1</v>
      </c>
      <c r="H10" s="54" t="s">
        <v>1475</v>
      </c>
      <c r="I10"/>
    </row>
    <row r="11" spans="3:10" s="1" customFormat="1">
      <c r="C11" s="49" t="s">
        <v>672</v>
      </c>
      <c r="D11" s="8">
        <v>1</v>
      </c>
      <c r="E11" s="8">
        <v>0</v>
      </c>
      <c r="F11" s="57"/>
      <c r="G11" s="54">
        <v>0.5</v>
      </c>
      <c r="H11" s="54" t="s">
        <v>1475</v>
      </c>
      <c r="I11"/>
    </row>
    <row r="12" spans="3:10" s="1" customFormat="1" outlineLevel="1">
      <c r="C12" s="48" t="s">
        <v>1477</v>
      </c>
      <c r="D12" s="13">
        <v>3</v>
      </c>
      <c r="E12" s="13">
        <v>1.5</v>
      </c>
      <c r="F12" s="57"/>
      <c r="G12" s="58">
        <v>2.5</v>
      </c>
      <c r="H12" s="58">
        <v>2.5</v>
      </c>
      <c r="I12"/>
    </row>
    <row r="13" spans="3:10" s="1" customFormat="1" outlineLevel="1">
      <c r="C13" s="49" t="s">
        <v>1478</v>
      </c>
      <c r="D13" s="8">
        <v>1</v>
      </c>
      <c r="E13" s="8">
        <v>0.5</v>
      </c>
      <c r="F13" s="57"/>
      <c r="G13" s="54">
        <v>0.5</v>
      </c>
      <c r="H13" s="54">
        <v>1</v>
      </c>
      <c r="I13"/>
      <c r="J13"/>
    </row>
    <row r="14" spans="3:10" s="1" customFormat="1">
      <c r="C14" s="49" t="s">
        <v>1479</v>
      </c>
      <c r="D14" s="8">
        <v>1</v>
      </c>
      <c r="E14" s="8">
        <v>0.5</v>
      </c>
      <c r="F14" s="57"/>
      <c r="G14" s="54">
        <v>1</v>
      </c>
      <c r="H14" s="54">
        <v>1</v>
      </c>
      <c r="I14"/>
      <c r="J14"/>
    </row>
    <row r="15" spans="3:10" s="1" customFormat="1" outlineLevel="1">
      <c r="C15" s="49" t="s">
        <v>1480</v>
      </c>
      <c r="D15" s="8">
        <v>1</v>
      </c>
      <c r="E15" s="8">
        <v>0.5</v>
      </c>
      <c r="F15" s="57"/>
      <c r="G15" s="54">
        <v>1</v>
      </c>
      <c r="H15" s="54">
        <v>0.5</v>
      </c>
      <c r="I15"/>
      <c r="J15"/>
    </row>
    <row r="16" spans="3:10" s="1" customFormat="1" outlineLevel="1">
      <c r="C16" s="48" t="s">
        <v>663</v>
      </c>
      <c r="D16" s="13">
        <v>2.5</v>
      </c>
      <c r="E16" s="13">
        <v>1.5</v>
      </c>
      <c r="F16" s="57"/>
      <c r="G16" s="58">
        <v>2.5</v>
      </c>
      <c r="H16" s="58">
        <v>2.5</v>
      </c>
      <c r="I16"/>
      <c r="J16"/>
    </row>
    <row r="17" spans="3:10" s="1" customFormat="1" outlineLevel="1">
      <c r="C17" s="49" t="s">
        <v>1481</v>
      </c>
      <c r="D17" s="8">
        <v>0.5</v>
      </c>
      <c r="E17" s="8">
        <v>0.5</v>
      </c>
      <c r="F17" s="57"/>
      <c r="G17" s="54">
        <v>0.5</v>
      </c>
      <c r="H17" s="54">
        <v>0.5</v>
      </c>
      <c r="I17"/>
      <c r="J17"/>
    </row>
    <row r="18" spans="3:10" s="1" customFormat="1" outlineLevel="1">
      <c r="C18" s="49" t="s">
        <v>1482</v>
      </c>
      <c r="D18" s="8">
        <v>1</v>
      </c>
      <c r="E18" s="8">
        <v>1</v>
      </c>
      <c r="F18" s="57"/>
      <c r="G18" s="54">
        <v>1</v>
      </c>
      <c r="H18" s="54">
        <v>1</v>
      </c>
      <c r="I18"/>
      <c r="J18"/>
    </row>
    <row r="19" spans="3:10" s="1" customFormat="1" outlineLevel="1">
      <c r="C19" s="49" t="s">
        <v>682</v>
      </c>
      <c r="D19" s="8">
        <v>1</v>
      </c>
      <c r="E19" s="8">
        <v>0.5</v>
      </c>
      <c r="F19" s="57"/>
      <c r="G19" s="54">
        <v>1</v>
      </c>
      <c r="H19" s="54">
        <v>1</v>
      </c>
      <c r="I19"/>
      <c r="J19"/>
    </row>
    <row r="20" spans="3:10" s="1" customFormat="1" outlineLevel="1">
      <c r="C20" s="44" t="s">
        <v>12</v>
      </c>
      <c r="D20" s="12">
        <v>12</v>
      </c>
      <c r="E20" s="12">
        <v>6.5</v>
      </c>
      <c r="F20" s="57"/>
      <c r="G20" s="59">
        <v>9.5</v>
      </c>
      <c r="H20" s="59">
        <v>7.5</v>
      </c>
      <c r="I20"/>
      <c r="J20"/>
    </row>
    <row r="21" spans="3:10" s="1" customFormat="1" outlineLevel="1">
      <c r="C21" s="48" t="s">
        <v>1473</v>
      </c>
      <c r="D21" s="13">
        <v>7.5</v>
      </c>
      <c r="E21" s="13">
        <v>3.5</v>
      </c>
      <c r="F21" s="57"/>
      <c r="G21" s="58">
        <v>6.5</v>
      </c>
      <c r="H21" s="58">
        <v>3.5</v>
      </c>
      <c r="I21"/>
      <c r="J21"/>
    </row>
    <row r="22" spans="3:10" s="1" customFormat="1" outlineLevel="1">
      <c r="C22" s="49" t="s">
        <v>1483</v>
      </c>
      <c r="D22" s="8">
        <v>1.5</v>
      </c>
      <c r="E22" s="8">
        <v>0.5</v>
      </c>
      <c r="F22" s="57"/>
      <c r="G22" s="54">
        <v>1.5</v>
      </c>
      <c r="H22" s="54">
        <v>1.5</v>
      </c>
      <c r="I22"/>
      <c r="J22"/>
    </row>
    <row r="23" spans="3:10" s="1" customFormat="1">
      <c r="C23" s="49" t="s">
        <v>1484</v>
      </c>
      <c r="D23" s="8">
        <v>1</v>
      </c>
      <c r="E23" s="8">
        <v>1</v>
      </c>
      <c r="F23" s="57"/>
      <c r="G23" s="54">
        <v>1</v>
      </c>
      <c r="H23" s="54">
        <v>1</v>
      </c>
      <c r="I23"/>
      <c r="J23"/>
    </row>
    <row r="24" spans="3:10" s="1" customFormat="1">
      <c r="C24" s="49" t="s">
        <v>156</v>
      </c>
      <c r="D24" s="8">
        <v>2</v>
      </c>
      <c r="E24" s="8">
        <v>0</v>
      </c>
      <c r="F24" s="57"/>
      <c r="G24" s="54">
        <v>2</v>
      </c>
      <c r="H24" s="54" t="s">
        <v>1475</v>
      </c>
      <c r="I24"/>
      <c r="J24"/>
    </row>
    <row r="25" spans="3:10" s="1" customFormat="1" outlineLevel="1">
      <c r="C25" s="49" t="s">
        <v>148</v>
      </c>
      <c r="D25" s="8">
        <v>2</v>
      </c>
      <c r="E25" s="8">
        <v>1</v>
      </c>
      <c r="F25" s="57"/>
      <c r="G25" s="54">
        <v>1</v>
      </c>
      <c r="H25" s="54" t="s">
        <v>1475</v>
      </c>
      <c r="I25"/>
      <c r="J25"/>
    </row>
    <row r="26" spans="3:10" s="1" customFormat="1" outlineLevel="1">
      <c r="C26" s="49" t="s">
        <v>1476</v>
      </c>
      <c r="D26" s="8">
        <v>1</v>
      </c>
      <c r="E26" s="8">
        <v>1</v>
      </c>
      <c r="F26" s="57"/>
      <c r="G26" s="54">
        <v>1</v>
      </c>
      <c r="H26" s="54">
        <v>1</v>
      </c>
      <c r="I26"/>
      <c r="J26"/>
    </row>
    <row r="27" spans="3:10" s="1" customFormat="1">
      <c r="C27" s="48" t="s">
        <v>1485</v>
      </c>
      <c r="D27" s="13">
        <v>2.5</v>
      </c>
      <c r="E27" s="13">
        <v>0</v>
      </c>
      <c r="F27" s="57"/>
      <c r="G27" s="58">
        <v>2</v>
      </c>
      <c r="H27" s="58">
        <v>2</v>
      </c>
      <c r="I27"/>
      <c r="J27"/>
    </row>
    <row r="28" spans="3:10" s="1" customFormat="1" outlineLevel="1">
      <c r="C28" s="49" t="s">
        <v>1486</v>
      </c>
      <c r="D28" s="8">
        <v>2</v>
      </c>
      <c r="E28" s="8">
        <v>0</v>
      </c>
      <c r="F28" s="57"/>
      <c r="G28" s="54">
        <v>2</v>
      </c>
      <c r="H28" s="54">
        <v>2</v>
      </c>
      <c r="I28"/>
      <c r="J28"/>
    </row>
    <row r="29" spans="3:10" s="1" customFormat="1">
      <c r="C29" s="48" t="s">
        <v>124</v>
      </c>
      <c r="D29" s="13">
        <v>2.5</v>
      </c>
      <c r="E29" s="13">
        <v>1.5</v>
      </c>
      <c r="F29" s="57"/>
      <c r="G29" s="58">
        <v>1</v>
      </c>
      <c r="H29" s="58">
        <v>2</v>
      </c>
      <c r="I29"/>
      <c r="J29"/>
    </row>
    <row r="30" spans="3:10" s="1" customFormat="1" outlineLevel="1">
      <c r="C30" s="49" t="s">
        <v>1487</v>
      </c>
      <c r="D30" s="8">
        <v>0.5</v>
      </c>
      <c r="E30" s="8">
        <v>0.5</v>
      </c>
      <c r="F30" s="57"/>
      <c r="G30" s="54">
        <v>0</v>
      </c>
      <c r="H30" s="54">
        <v>0</v>
      </c>
      <c r="I30"/>
      <c r="J30"/>
    </row>
    <row r="31" spans="3:10" s="1" customFormat="1" outlineLevel="1">
      <c r="C31" s="49" t="s">
        <v>1488</v>
      </c>
      <c r="D31" s="8">
        <v>2</v>
      </c>
      <c r="E31" s="8">
        <v>1</v>
      </c>
      <c r="F31" s="57"/>
      <c r="G31" s="54">
        <v>1</v>
      </c>
      <c r="H31" s="54">
        <v>2</v>
      </c>
      <c r="I31"/>
      <c r="J31"/>
    </row>
    <row r="32" spans="3:10" s="1" customFormat="1" outlineLevel="1">
      <c r="C32" s="44" t="s">
        <v>254</v>
      </c>
      <c r="D32" s="12">
        <v>28</v>
      </c>
      <c r="E32" s="12">
        <v>10.5</v>
      </c>
      <c r="F32" s="57"/>
      <c r="G32" s="59">
        <v>18</v>
      </c>
      <c r="H32" s="59">
        <v>11</v>
      </c>
      <c r="I32"/>
      <c r="J32"/>
    </row>
    <row r="33" spans="3:10" s="1" customFormat="1" outlineLevel="1">
      <c r="C33" s="48" t="s">
        <v>1489</v>
      </c>
      <c r="D33" s="14">
        <v>8</v>
      </c>
      <c r="E33" s="14">
        <v>5.5</v>
      </c>
      <c r="F33" s="57"/>
      <c r="G33" s="58">
        <v>5.5</v>
      </c>
      <c r="H33" s="58">
        <v>3.5</v>
      </c>
      <c r="I33"/>
      <c r="J33"/>
    </row>
    <row r="34" spans="3:10" s="1" customFormat="1">
      <c r="C34" s="49" t="s">
        <v>1490</v>
      </c>
      <c r="D34" s="8">
        <v>4</v>
      </c>
      <c r="E34" s="8">
        <v>2</v>
      </c>
      <c r="F34" s="57"/>
      <c r="G34" s="54">
        <v>2.5</v>
      </c>
      <c r="H34" s="54">
        <v>2</v>
      </c>
      <c r="I34"/>
      <c r="J34"/>
    </row>
    <row r="35" spans="3:10" s="1" customFormat="1">
      <c r="C35" s="49" t="s">
        <v>1491</v>
      </c>
      <c r="D35" s="8">
        <v>4</v>
      </c>
      <c r="E35" s="8">
        <v>3</v>
      </c>
      <c r="F35" s="57"/>
      <c r="G35" s="54">
        <v>3</v>
      </c>
      <c r="H35" s="54">
        <v>1.5</v>
      </c>
      <c r="I35"/>
      <c r="J35"/>
    </row>
    <row r="36" spans="3:10" s="1" customFormat="1" outlineLevel="1">
      <c r="C36" s="48" t="s">
        <v>1492</v>
      </c>
      <c r="D36" s="13">
        <v>6</v>
      </c>
      <c r="E36" s="13">
        <v>2</v>
      </c>
      <c r="F36" s="57"/>
      <c r="G36" s="58">
        <v>4</v>
      </c>
      <c r="H36" s="58">
        <v>2</v>
      </c>
      <c r="I36"/>
      <c r="J36"/>
    </row>
    <row r="37" spans="3:10" s="1" customFormat="1" outlineLevel="1">
      <c r="C37" s="49" t="s">
        <v>1493</v>
      </c>
      <c r="D37" s="8">
        <v>1</v>
      </c>
      <c r="E37" s="8">
        <v>0</v>
      </c>
      <c r="F37" s="57"/>
      <c r="G37" s="54">
        <v>1</v>
      </c>
      <c r="H37" s="54">
        <v>1</v>
      </c>
      <c r="I37"/>
      <c r="J37"/>
    </row>
    <row r="38" spans="3:10" s="1" customFormat="1" outlineLevel="1">
      <c r="C38" s="49" t="s">
        <v>1494</v>
      </c>
      <c r="D38" s="8">
        <v>2</v>
      </c>
      <c r="E38" s="8">
        <v>2</v>
      </c>
      <c r="F38" s="57"/>
      <c r="G38" s="54">
        <v>2</v>
      </c>
      <c r="H38" s="54">
        <v>0</v>
      </c>
      <c r="I38"/>
      <c r="J38"/>
    </row>
    <row r="39" spans="3:10" s="1" customFormat="1">
      <c r="C39" s="49" t="s">
        <v>1495</v>
      </c>
      <c r="D39" s="8">
        <v>1</v>
      </c>
      <c r="E39" s="8">
        <v>1</v>
      </c>
      <c r="F39" s="57"/>
      <c r="G39" s="54">
        <v>1</v>
      </c>
      <c r="H39" s="54">
        <v>1</v>
      </c>
      <c r="I39"/>
      <c r="J39"/>
    </row>
    <row r="40" spans="3:10" s="1" customFormat="1" outlineLevel="1">
      <c r="C40" s="49" t="s">
        <v>1496</v>
      </c>
      <c r="D40" s="8">
        <v>2</v>
      </c>
      <c r="E40" s="8">
        <v>0</v>
      </c>
      <c r="F40" s="57"/>
      <c r="G40" s="54">
        <v>0</v>
      </c>
      <c r="H40" s="54">
        <v>0</v>
      </c>
      <c r="I40"/>
      <c r="J40"/>
    </row>
    <row r="41" spans="3:10" s="1" customFormat="1" outlineLevel="1">
      <c r="C41" s="48" t="s">
        <v>1497</v>
      </c>
      <c r="D41" s="15">
        <v>8</v>
      </c>
      <c r="E41" s="15">
        <v>2</v>
      </c>
      <c r="F41" s="57"/>
      <c r="G41" s="58">
        <v>4</v>
      </c>
      <c r="H41" s="58">
        <v>5</v>
      </c>
      <c r="I41"/>
      <c r="J41"/>
    </row>
    <row r="42" spans="3:10" s="1" customFormat="1" outlineLevel="1">
      <c r="C42" s="49" t="s">
        <v>50</v>
      </c>
      <c r="D42" s="8">
        <v>1</v>
      </c>
      <c r="E42" s="8">
        <v>0</v>
      </c>
      <c r="F42" s="57"/>
      <c r="G42" s="54">
        <v>0</v>
      </c>
      <c r="H42" s="54">
        <v>0</v>
      </c>
      <c r="I42"/>
      <c r="J42"/>
    </row>
    <row r="43" spans="3:10" s="1" customFormat="1" outlineLevel="1">
      <c r="C43" s="49" t="s">
        <v>1498</v>
      </c>
      <c r="D43" s="8">
        <v>2</v>
      </c>
      <c r="E43" s="8">
        <v>0</v>
      </c>
      <c r="F43" s="57"/>
      <c r="G43" s="54">
        <v>1</v>
      </c>
      <c r="H43" s="54">
        <v>2</v>
      </c>
      <c r="I43"/>
      <c r="J43"/>
    </row>
    <row r="44" spans="3:10" s="1" customFormat="1">
      <c r="C44" s="49" t="s">
        <v>45</v>
      </c>
      <c r="D44" s="8">
        <v>2</v>
      </c>
      <c r="E44" s="8">
        <v>0</v>
      </c>
      <c r="F44" s="57"/>
      <c r="G44" s="54">
        <v>0</v>
      </c>
      <c r="H44" s="54">
        <v>0</v>
      </c>
      <c r="I44"/>
      <c r="J44"/>
    </row>
    <row r="45" spans="3:10" s="1" customFormat="1">
      <c r="C45" s="49" t="s">
        <v>1499</v>
      </c>
      <c r="D45" s="8">
        <v>3</v>
      </c>
      <c r="E45" s="8">
        <v>1.5</v>
      </c>
      <c r="F45" s="57"/>
      <c r="G45" s="54">
        <v>3</v>
      </c>
      <c r="H45" s="54">
        <v>3</v>
      </c>
      <c r="I45"/>
      <c r="J45"/>
    </row>
    <row r="46" spans="3:10" s="1" customFormat="1" outlineLevel="1">
      <c r="C46" s="48" t="s">
        <v>1500</v>
      </c>
      <c r="D46" s="13">
        <v>6</v>
      </c>
      <c r="E46" s="13">
        <v>0.5</v>
      </c>
      <c r="F46" s="57"/>
      <c r="G46" s="58">
        <v>4.5</v>
      </c>
      <c r="H46" s="58">
        <v>0.5</v>
      </c>
      <c r="I46"/>
      <c r="J46"/>
    </row>
    <row r="47" spans="3:10" s="1" customFormat="1" outlineLevel="1">
      <c r="C47" s="49" t="s">
        <v>1501</v>
      </c>
      <c r="D47" s="8">
        <v>3</v>
      </c>
      <c r="E47" s="8">
        <v>0</v>
      </c>
      <c r="F47" s="57"/>
      <c r="G47" s="54">
        <v>2</v>
      </c>
      <c r="H47" s="54">
        <v>0.5</v>
      </c>
      <c r="I47"/>
      <c r="J47"/>
    </row>
    <row r="48" spans="3:10" s="1" customFormat="1" outlineLevel="1">
      <c r="C48" s="49" t="s">
        <v>1502</v>
      </c>
      <c r="D48" s="8">
        <v>3</v>
      </c>
      <c r="E48" s="8">
        <v>0.5</v>
      </c>
      <c r="F48" s="57"/>
      <c r="G48" s="54">
        <v>2.5</v>
      </c>
      <c r="H48" s="54">
        <v>0</v>
      </c>
      <c r="I48"/>
      <c r="J48"/>
    </row>
    <row r="49" spans="3:10" s="1" customFormat="1" outlineLevel="1">
      <c r="C49" s="44" t="s">
        <v>1503</v>
      </c>
      <c r="D49" s="12">
        <v>20</v>
      </c>
      <c r="E49" s="12">
        <v>9.5</v>
      </c>
      <c r="F49" s="57"/>
      <c r="G49" s="59">
        <v>5.5</v>
      </c>
      <c r="H49" s="59">
        <v>14.5</v>
      </c>
      <c r="I49"/>
      <c r="J49"/>
    </row>
    <row r="50" spans="3:10" s="1" customFormat="1">
      <c r="C50" s="48" t="s">
        <v>1504</v>
      </c>
      <c r="D50" s="13">
        <v>9</v>
      </c>
      <c r="E50" s="13">
        <v>3.5</v>
      </c>
      <c r="F50" s="57"/>
      <c r="G50" s="58">
        <v>1</v>
      </c>
      <c r="H50" s="58">
        <v>4.5</v>
      </c>
      <c r="I50"/>
      <c r="J50"/>
    </row>
    <row r="51" spans="3:10" s="1" customFormat="1" outlineLevel="1">
      <c r="C51" s="49" t="s">
        <v>1505</v>
      </c>
      <c r="D51" s="8">
        <v>4.5</v>
      </c>
      <c r="E51" s="8">
        <v>2</v>
      </c>
      <c r="F51" s="57"/>
      <c r="G51" s="54">
        <v>0.5</v>
      </c>
      <c r="H51" s="54">
        <v>3.5</v>
      </c>
      <c r="I51"/>
      <c r="J51"/>
    </row>
    <row r="52" spans="3:10" s="1" customFormat="1" outlineLevel="1">
      <c r="C52" s="49" t="s">
        <v>1506</v>
      </c>
      <c r="D52" s="8">
        <v>4.5</v>
      </c>
      <c r="E52" s="8">
        <v>1</v>
      </c>
      <c r="F52" s="57"/>
      <c r="G52" s="54">
        <v>0.5</v>
      </c>
      <c r="H52" s="54">
        <v>1</v>
      </c>
      <c r="I52"/>
      <c r="J52"/>
    </row>
    <row r="53" spans="3:10" s="1" customFormat="1" outlineLevel="1">
      <c r="C53" s="48" t="s">
        <v>1507</v>
      </c>
      <c r="D53" s="13">
        <v>4</v>
      </c>
      <c r="E53" s="13">
        <v>2</v>
      </c>
      <c r="F53" s="57"/>
      <c r="G53" s="58">
        <v>1</v>
      </c>
      <c r="H53" s="58">
        <v>4</v>
      </c>
      <c r="I53"/>
      <c r="J53"/>
    </row>
    <row r="54" spans="3:10" s="1" customFormat="1" outlineLevel="1">
      <c r="C54" s="49" t="s">
        <v>579</v>
      </c>
      <c r="D54" s="8">
        <v>2</v>
      </c>
      <c r="E54" s="8">
        <v>1</v>
      </c>
      <c r="F54" s="57"/>
      <c r="G54" s="54">
        <v>1</v>
      </c>
      <c r="H54" s="54">
        <v>2</v>
      </c>
      <c r="I54"/>
      <c r="J54"/>
    </row>
    <row r="55" spans="3:10" s="1" customFormat="1">
      <c r="C55" s="49" t="s">
        <v>582</v>
      </c>
      <c r="D55" s="8">
        <v>2</v>
      </c>
      <c r="E55" s="8">
        <v>2</v>
      </c>
      <c r="F55" s="57"/>
      <c r="G55" s="54">
        <v>0</v>
      </c>
      <c r="H55" s="54">
        <v>2</v>
      </c>
      <c r="I55"/>
      <c r="J55"/>
    </row>
    <row r="56" spans="3:10" s="1" customFormat="1">
      <c r="C56" s="48" t="s">
        <v>556</v>
      </c>
      <c r="D56" s="13">
        <v>2</v>
      </c>
      <c r="E56" s="13">
        <v>1</v>
      </c>
      <c r="F56" s="57"/>
      <c r="G56" s="58">
        <v>1</v>
      </c>
      <c r="H56" s="58">
        <v>2</v>
      </c>
      <c r="I56"/>
      <c r="J56"/>
    </row>
    <row r="57" spans="3:10" s="1" customFormat="1" outlineLevel="1">
      <c r="C57" s="49" t="s">
        <v>584</v>
      </c>
      <c r="D57" s="8">
        <v>0.5</v>
      </c>
      <c r="E57" s="8">
        <v>0</v>
      </c>
      <c r="F57" s="57"/>
      <c r="G57" s="54">
        <v>0</v>
      </c>
      <c r="H57" s="54">
        <v>0.5</v>
      </c>
      <c r="I57"/>
      <c r="J57"/>
    </row>
    <row r="58" spans="3:10" s="1" customFormat="1" outlineLevel="1">
      <c r="C58" s="49" t="s">
        <v>1508</v>
      </c>
      <c r="D58" s="8">
        <v>0.5</v>
      </c>
      <c r="E58" s="8">
        <v>0.5</v>
      </c>
      <c r="F58" s="57"/>
      <c r="G58" s="54">
        <v>0.5</v>
      </c>
      <c r="H58" s="54">
        <v>0.5</v>
      </c>
      <c r="I58"/>
      <c r="J58"/>
    </row>
    <row r="59" spans="3:10" s="1" customFormat="1" outlineLevel="1">
      <c r="C59" s="49" t="s">
        <v>586</v>
      </c>
      <c r="D59" s="8">
        <v>0.5</v>
      </c>
      <c r="E59" s="8">
        <v>0</v>
      </c>
      <c r="F59" s="57"/>
      <c r="G59" s="54">
        <v>0</v>
      </c>
      <c r="H59" s="54">
        <v>0.5</v>
      </c>
      <c r="I59"/>
      <c r="J59"/>
    </row>
    <row r="60" spans="3:10" s="1" customFormat="1" outlineLevel="1">
      <c r="C60" s="49" t="s">
        <v>1509</v>
      </c>
      <c r="D60" s="8">
        <v>0.5</v>
      </c>
      <c r="E60" s="8">
        <v>0.5</v>
      </c>
      <c r="F60" s="57"/>
      <c r="G60" s="54">
        <v>0.5</v>
      </c>
      <c r="H60" s="54">
        <v>0.5</v>
      </c>
      <c r="I60"/>
      <c r="J60"/>
    </row>
    <row r="61" spans="3:10" s="1" customFormat="1">
      <c r="C61" s="48" t="s">
        <v>558</v>
      </c>
      <c r="D61" s="13">
        <v>5</v>
      </c>
      <c r="E61" s="13">
        <v>3</v>
      </c>
      <c r="F61" s="57"/>
      <c r="G61" s="58">
        <v>2.5</v>
      </c>
      <c r="H61" s="58">
        <v>4</v>
      </c>
      <c r="I61"/>
      <c r="J61"/>
    </row>
    <row r="62" spans="3:10" s="1" customFormat="1" outlineLevel="1">
      <c r="C62" s="49" t="s">
        <v>1510</v>
      </c>
      <c r="D62" s="8">
        <v>1</v>
      </c>
      <c r="E62" s="8">
        <v>0</v>
      </c>
      <c r="F62" s="57"/>
      <c r="G62" s="54">
        <v>1</v>
      </c>
      <c r="H62" s="54">
        <v>1</v>
      </c>
      <c r="I62"/>
      <c r="J62"/>
    </row>
    <row r="63" spans="3:10" s="1" customFormat="1">
      <c r="C63" s="49" t="s">
        <v>593</v>
      </c>
      <c r="D63" s="8">
        <v>2</v>
      </c>
      <c r="E63" s="8">
        <v>1.5</v>
      </c>
      <c r="F63" s="57"/>
      <c r="G63" s="54">
        <v>0.5</v>
      </c>
      <c r="H63" s="54">
        <v>2</v>
      </c>
      <c r="I63"/>
      <c r="J63"/>
    </row>
    <row r="64" spans="3:10" s="1" customFormat="1" outlineLevel="1">
      <c r="C64" s="49" t="s">
        <v>1511</v>
      </c>
      <c r="D64" s="8">
        <v>2</v>
      </c>
      <c r="E64" s="8">
        <v>1.5</v>
      </c>
      <c r="F64" s="57"/>
      <c r="G64" s="54">
        <v>1</v>
      </c>
      <c r="H64" s="54">
        <v>1</v>
      </c>
      <c r="I64"/>
      <c r="J64"/>
    </row>
    <row r="65" spans="3:10" s="1" customFormat="1" outlineLevel="1">
      <c r="C65" s="44" t="s">
        <v>61</v>
      </c>
      <c r="D65" s="12">
        <v>30</v>
      </c>
      <c r="E65" s="12">
        <v>10.5</v>
      </c>
      <c r="F65" s="57"/>
      <c r="G65" s="59">
        <v>14.5</v>
      </c>
      <c r="H65" s="59">
        <v>15.5</v>
      </c>
      <c r="I65"/>
      <c r="J65"/>
    </row>
    <row r="66" spans="3:10" s="1" customFormat="1" outlineLevel="1">
      <c r="C66" s="48" t="s">
        <v>405</v>
      </c>
      <c r="D66" s="13">
        <v>4</v>
      </c>
      <c r="E66" s="13">
        <v>2</v>
      </c>
      <c r="F66" s="57"/>
      <c r="G66" s="13">
        <v>4</v>
      </c>
      <c r="H66" s="13">
        <v>2</v>
      </c>
      <c r="I66"/>
      <c r="J66"/>
    </row>
    <row r="67" spans="3:10" s="1" customFormat="1" outlineLevel="1">
      <c r="C67" s="49" t="s">
        <v>1512</v>
      </c>
      <c r="D67" s="8">
        <v>4</v>
      </c>
      <c r="E67" s="8">
        <v>2</v>
      </c>
      <c r="F67" s="57"/>
      <c r="G67" s="8">
        <v>4</v>
      </c>
      <c r="H67" s="8">
        <v>2</v>
      </c>
      <c r="I67"/>
      <c r="J67"/>
    </row>
    <row r="68" spans="3:10" s="1" customFormat="1">
      <c r="C68" s="48" t="s">
        <v>406</v>
      </c>
      <c r="D68" s="13">
        <v>6</v>
      </c>
      <c r="E68" s="13">
        <v>2.5</v>
      </c>
      <c r="F68" s="57"/>
      <c r="G68" s="13">
        <v>3.5</v>
      </c>
      <c r="H68" s="13">
        <v>3</v>
      </c>
      <c r="I68"/>
      <c r="J68"/>
    </row>
    <row r="69" spans="3:10" s="1" customFormat="1">
      <c r="C69" s="49" t="s">
        <v>67</v>
      </c>
      <c r="D69" s="8">
        <v>2</v>
      </c>
      <c r="E69" s="8">
        <v>1</v>
      </c>
      <c r="F69" s="57"/>
      <c r="G69" s="8" t="s">
        <v>1475</v>
      </c>
      <c r="H69" s="8">
        <v>1.5</v>
      </c>
      <c r="I69"/>
      <c r="J69"/>
    </row>
    <row r="70" spans="3:10" s="1" customFormat="1" outlineLevel="1">
      <c r="C70" s="49" t="s">
        <v>66</v>
      </c>
      <c r="D70" s="8">
        <v>2</v>
      </c>
      <c r="E70" s="8">
        <v>1</v>
      </c>
      <c r="F70" s="57"/>
      <c r="G70" s="8">
        <v>2</v>
      </c>
      <c r="H70" s="8">
        <v>1</v>
      </c>
      <c r="I70"/>
      <c r="J70"/>
    </row>
    <row r="71" spans="3:10" s="1" customFormat="1" outlineLevel="1">
      <c r="C71" s="49" t="s">
        <v>1513</v>
      </c>
      <c r="D71" s="8">
        <v>2</v>
      </c>
      <c r="E71" s="8">
        <v>0</v>
      </c>
      <c r="F71" s="57"/>
      <c r="G71" s="8">
        <v>1.5</v>
      </c>
      <c r="H71" s="8">
        <v>0.5</v>
      </c>
      <c r="I71"/>
      <c r="J71"/>
    </row>
    <row r="72" spans="3:10" s="1" customFormat="1" outlineLevel="1">
      <c r="C72" s="48" t="s">
        <v>741</v>
      </c>
      <c r="D72" s="13">
        <v>6</v>
      </c>
      <c r="E72" s="13">
        <v>3</v>
      </c>
      <c r="F72" s="57"/>
      <c r="G72" s="13">
        <v>4.5</v>
      </c>
      <c r="H72" s="13">
        <v>3.5</v>
      </c>
      <c r="I72"/>
      <c r="J72"/>
    </row>
    <row r="73" spans="3:10" s="1" customFormat="1" outlineLevel="1">
      <c r="C73" s="49" t="s">
        <v>1514</v>
      </c>
      <c r="D73" s="8">
        <v>2</v>
      </c>
      <c r="E73" s="8">
        <v>2</v>
      </c>
      <c r="F73" s="57"/>
      <c r="G73" s="8">
        <v>2</v>
      </c>
      <c r="H73" s="8">
        <v>1.5</v>
      </c>
      <c r="I73"/>
      <c r="J73"/>
    </row>
    <row r="74" spans="3:10" s="1" customFormat="1">
      <c r="C74" s="49" t="s">
        <v>69</v>
      </c>
      <c r="D74" s="8">
        <v>2</v>
      </c>
      <c r="E74" s="8">
        <v>0</v>
      </c>
      <c r="F74" s="57"/>
      <c r="G74" s="8">
        <v>2</v>
      </c>
      <c r="H74" s="8">
        <v>0</v>
      </c>
      <c r="I74"/>
      <c r="J74"/>
    </row>
    <row r="75" spans="3:10" s="1" customFormat="1" outlineLevel="1">
      <c r="C75" s="49" t="s">
        <v>71</v>
      </c>
      <c r="D75" s="8">
        <v>2</v>
      </c>
      <c r="E75" s="8">
        <v>0.5</v>
      </c>
      <c r="F75" s="57"/>
      <c r="G75" s="8">
        <v>0.5</v>
      </c>
      <c r="H75" s="8">
        <v>2</v>
      </c>
      <c r="I75"/>
      <c r="J75"/>
    </row>
    <row r="76" spans="3:10" s="1" customFormat="1" outlineLevel="1">
      <c r="C76" s="48" t="s">
        <v>408</v>
      </c>
      <c r="D76" s="13">
        <v>5</v>
      </c>
      <c r="E76" s="13">
        <v>2</v>
      </c>
      <c r="F76" s="57"/>
      <c r="G76" s="13">
        <v>1</v>
      </c>
      <c r="H76" s="13">
        <v>3</v>
      </c>
      <c r="I76"/>
      <c r="J76"/>
    </row>
    <row r="77" spans="3:10" s="1" customFormat="1">
      <c r="C77" s="49" t="s">
        <v>1515</v>
      </c>
      <c r="D77" s="8">
        <v>3</v>
      </c>
      <c r="E77" s="8">
        <v>1</v>
      </c>
      <c r="F77" s="57"/>
      <c r="G77" s="8">
        <v>0</v>
      </c>
      <c r="H77" s="8">
        <v>2</v>
      </c>
      <c r="I77"/>
      <c r="J77"/>
    </row>
    <row r="78" spans="3:10" s="1" customFormat="1" outlineLevel="1">
      <c r="C78" s="49" t="s">
        <v>744</v>
      </c>
      <c r="D78" s="8">
        <v>2</v>
      </c>
      <c r="E78" s="8">
        <v>0.5</v>
      </c>
      <c r="F78" s="57"/>
      <c r="G78" s="8">
        <v>1</v>
      </c>
      <c r="H78" s="8">
        <v>1</v>
      </c>
      <c r="I78"/>
      <c r="J78"/>
    </row>
    <row r="79" spans="3:10" s="1" customFormat="1" outlineLevel="1">
      <c r="C79" s="48" t="s">
        <v>409</v>
      </c>
      <c r="D79" s="13">
        <v>3</v>
      </c>
      <c r="E79" s="13">
        <v>1</v>
      </c>
      <c r="F79" s="57"/>
      <c r="G79" s="13">
        <v>1.5</v>
      </c>
      <c r="H79" s="13">
        <v>1.5</v>
      </c>
      <c r="I79"/>
      <c r="J79"/>
    </row>
    <row r="80" spans="3:10" s="1" customFormat="1" outlineLevel="1">
      <c r="C80" s="49" t="s">
        <v>1516</v>
      </c>
      <c r="D80" s="8">
        <v>1</v>
      </c>
      <c r="E80" s="8">
        <v>0</v>
      </c>
      <c r="F80" s="57"/>
      <c r="G80" s="8">
        <v>1</v>
      </c>
      <c r="H80" s="8">
        <v>0</v>
      </c>
      <c r="I80"/>
      <c r="J80"/>
    </row>
    <row r="81" spans="3:10" outlineLevel="1">
      <c r="C81" s="49" t="s">
        <v>1517</v>
      </c>
      <c r="D81" s="8">
        <v>1</v>
      </c>
      <c r="E81" s="8">
        <v>0</v>
      </c>
      <c r="F81" s="57"/>
      <c r="G81" s="8">
        <v>0.5</v>
      </c>
      <c r="H81" s="8">
        <v>0.5</v>
      </c>
    </row>
    <row r="82" spans="3:10" s="1" customFormat="1" outlineLevel="1">
      <c r="C82" s="50" t="s">
        <v>447</v>
      </c>
      <c r="D82" s="46">
        <v>1</v>
      </c>
      <c r="E82" s="46">
        <v>1</v>
      </c>
      <c r="F82" s="57"/>
      <c r="G82" s="46">
        <v>0</v>
      </c>
      <c r="H82" s="46">
        <v>1</v>
      </c>
      <c r="I82"/>
      <c r="J82"/>
    </row>
    <row r="83" spans="3:10" s="1" customFormat="1">
      <c r="C83" s="48" t="s">
        <v>1518</v>
      </c>
      <c r="D83" s="13">
        <v>3</v>
      </c>
      <c r="E83" s="13">
        <v>0</v>
      </c>
      <c r="F83" s="57"/>
      <c r="G83" s="13">
        <v>0</v>
      </c>
      <c r="H83" s="13">
        <v>1</v>
      </c>
      <c r="I83"/>
      <c r="J83"/>
    </row>
    <row r="84" spans="3:10" s="1" customFormat="1" outlineLevel="1">
      <c r="C84" s="49" t="s">
        <v>1518</v>
      </c>
      <c r="D84" s="8">
        <v>2</v>
      </c>
      <c r="E84" s="8">
        <v>0</v>
      </c>
      <c r="F84" s="57"/>
      <c r="G84" s="8">
        <v>0</v>
      </c>
      <c r="H84" s="8">
        <v>0</v>
      </c>
      <c r="I84"/>
      <c r="J84"/>
    </row>
    <row r="85" spans="3:10" s="1" customFormat="1" outlineLevel="1">
      <c r="C85" s="50" t="s">
        <v>1519</v>
      </c>
      <c r="D85" s="8">
        <v>1</v>
      </c>
      <c r="E85" s="8">
        <v>0</v>
      </c>
      <c r="F85" s="68"/>
      <c r="G85" s="8">
        <v>0</v>
      </c>
      <c r="H85" s="8">
        <v>1</v>
      </c>
      <c r="I85"/>
      <c r="J85"/>
    </row>
    <row r="86" spans="3:10" s="1" customFormat="1" outlineLevel="1">
      <c r="C86" s="48" t="s">
        <v>1520</v>
      </c>
      <c r="D86" s="13">
        <v>3</v>
      </c>
      <c r="E86" s="13">
        <v>0</v>
      </c>
      <c r="F86" s="68"/>
      <c r="G86" s="13">
        <v>0</v>
      </c>
      <c r="H86" s="13">
        <v>1.5</v>
      </c>
      <c r="I86"/>
      <c r="J86"/>
    </row>
    <row r="87" spans="3:10" s="1" customFormat="1" ht="15" outlineLevel="1" thickBot="1">
      <c r="C87" s="51" t="s">
        <v>1521</v>
      </c>
      <c r="D87" s="47">
        <v>3</v>
      </c>
      <c r="E87" s="47">
        <v>0</v>
      </c>
      <c r="F87" s="69"/>
      <c r="G87" s="47">
        <v>0</v>
      </c>
      <c r="H87" s="47">
        <v>1.5</v>
      </c>
      <c r="I87"/>
      <c r="J87"/>
    </row>
    <row r="88" spans="3:10" s="1" customFormat="1" outlineLevel="1">
      <c r="C88"/>
      <c r="D88"/>
      <c r="E88" t="s">
        <v>1522</v>
      </c>
      <c r="F88"/>
      <c r="G88"/>
      <c r="H88"/>
      <c r="I88"/>
      <c r="J88"/>
    </row>
    <row r="89" spans="3:10" ht="15" thickBot="1"/>
    <row r="90" spans="3:10" ht="15" thickBot="1">
      <c r="C90" s="1" t="e">
        <f>MAX(#REF!)</f>
        <v>#REF!</v>
      </c>
      <c r="D90" s="17" t="e">
        <f>C90/H90</f>
        <v>#REF!</v>
      </c>
      <c r="E90" s="17"/>
      <c r="F90" s="1" t="e">
        <f>HLOOKUP(C90,#REF!,2,FALSE)</f>
        <v>#REF!</v>
      </c>
      <c r="H90" s="16" t="e">
        <f>H68+H55+H34+H23+H4</f>
        <v>#VALUE!</v>
      </c>
    </row>
    <row r="91" spans="3:10" s="1" customFormat="1" ht="14.25" customHeight="1">
      <c r="H91" s="2" t="s">
        <v>1523</v>
      </c>
    </row>
  </sheetData>
  <customSheetViews>
    <customSheetView guid="{52A26A5D-FD00-480B-943F-DB06B537D6D8}" scale="75">
      <selection activeCell="B35" sqref="B35"/>
      <pageMargins left="0" right="0" top="0" bottom="0" header="0" footer="0"/>
      <pageSetup orientation="portrait" r:id="rId1"/>
    </customSheetView>
    <customSheetView guid="{EF22FA0B-F747-41C1-93DE-56651BBC6020}" scale="75" state="hidden" topLeftCell="B1">
      <pane xSplit="2" topLeftCell="D1" activePane="topRight" state="frozen"/>
      <selection pane="topRight" activeCell="G24" sqref="G24"/>
      <pageMargins left="0" right="0" top="0" bottom="0" header="0" footer="0"/>
      <pageSetup orientation="portrait" r:id="rId2"/>
    </customSheetView>
  </customSheetViews>
  <mergeCells count="1">
    <mergeCell ref="C3:H3"/>
  </mergeCell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63DB6C0C03A442B06849EA87F1DA3B" ma:contentTypeVersion="11" ma:contentTypeDescription="Create a new document." ma:contentTypeScope="" ma:versionID="c6e18a5ee499af4ac75ab2ac75549c01">
  <xsd:schema xmlns:xsd="http://www.w3.org/2001/XMLSchema" xmlns:xs="http://www.w3.org/2001/XMLSchema" xmlns:p="http://schemas.microsoft.com/office/2006/metadata/properties" xmlns:ns2="21c91a8d-c79a-4897-9eaa-45934cf133de" xmlns:ns3="3f8ac59b-155e-4a2c-8f2a-16c0bbce1c7c" targetNamespace="http://schemas.microsoft.com/office/2006/metadata/properties" ma:root="true" ma:fieldsID="23ff3c1321fe46fb72632429344815bc" ns2:_="" ns3:_="">
    <xsd:import namespace="21c91a8d-c79a-4897-9eaa-45934cf133de"/>
    <xsd:import namespace="3f8ac59b-155e-4a2c-8f2a-16c0bbce1c7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c91a8d-c79a-4897-9eaa-45934cf133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8ac59b-155e-4a2c-8f2a-16c0bbce1c7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F3EEA7-4F31-4FBB-AECD-2999649DDBCE}">
  <ds:schemaRefs>
    <ds:schemaRef ds:uri="http://schemas.microsoft.com/sharepoint/v3/contenttype/forms"/>
  </ds:schemaRefs>
</ds:datastoreItem>
</file>

<file path=customXml/itemProps2.xml><?xml version="1.0" encoding="utf-8"?>
<ds:datastoreItem xmlns:ds="http://schemas.openxmlformats.org/officeDocument/2006/customXml" ds:itemID="{7C6A5601-C552-4573-8EF1-1C3B2AF61F6B}">
  <ds:schemaRef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ca3930fa-5e80-4c6e-89d4-f6285586f2be"/>
    <ds:schemaRef ds:uri="http://purl.org/dc/terms/"/>
    <ds:schemaRef ds:uri="http://purl.org/dc/elements/1.1/"/>
    <ds:schemaRef ds:uri="ba461fcd-f49d-4345-baa7-385c59177dba"/>
    <ds:schemaRef ds:uri="http://purl.org/dc/dcmitype/"/>
  </ds:schemaRefs>
</ds:datastoreItem>
</file>

<file path=customXml/itemProps3.xml><?xml version="1.0" encoding="utf-8"?>
<ds:datastoreItem xmlns:ds="http://schemas.openxmlformats.org/officeDocument/2006/customXml" ds:itemID="{266944EA-0890-4BB0-978B-B442F8CED4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Introduction</vt:lpstr>
      <vt:lpstr>Metric categorization</vt:lpstr>
      <vt:lpstr>GHG per capita data</vt:lpstr>
      <vt:lpstr>Community-wide initiatives</vt:lpstr>
      <vt:lpstr>Buildings policies</vt:lpstr>
      <vt:lpstr>Transportation policies</vt:lpstr>
      <vt:lpstr>Energy and water utilities</vt:lpstr>
      <vt:lpstr>Local government operations</vt:lpstr>
      <vt:lpstr>Analysis</vt:lpstr>
      <vt:lpstr>List of utilities</vt:lpstr>
      <vt:lpstr>Hidden Sheet</vt:lpstr>
      <vt:lpstr>Peer City Scores</vt:lpstr>
      <vt:lpstr>'Metric categorization'!_Hlk85793645</vt:lpstr>
      <vt:lpstr>Baseline_emissions_energy_use</vt:lpstr>
      <vt:lpstr>EE_Current_emissions</vt:lpstr>
      <vt:lpstr>EE_recent_year_of_emissions</vt:lpstr>
      <vt:lpstr>Emissions_energy_use_in_above_year</vt:lpstr>
      <vt:lpstr>GHG_adoptionyear_emissions</vt:lpstr>
      <vt:lpstr>GHG_Baseline_data</vt:lpstr>
      <vt:lpstr>GHG_emissions_D18</vt:lpstr>
      <vt:lpstr>GHG_recent_year</vt:lpstr>
      <vt:lpstr>GHG_Yearofadoption</vt:lpstr>
      <vt:lpstr>GHGTarget_percentage</vt:lpstr>
      <vt:lpstr>GHGTargetYear</vt:lpstr>
      <vt:lpstr>Goal_adoption_year_or_most_recent_year_of_available_data</vt:lpstr>
      <vt:lpstr>Nearest_target_year</vt:lpstr>
      <vt:lpstr>'Local government operations'!Print_Area</vt:lpstr>
      <vt:lpstr>Reduction_target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ACEEE</dc:creator>
  <cp:keywords/>
  <dc:description/>
  <cp:lastModifiedBy>Mary Robert Carter</cp:lastModifiedBy>
  <cp:revision/>
  <dcterms:created xsi:type="dcterms:W3CDTF">2013-07-03T19:11:46Z</dcterms:created>
  <dcterms:modified xsi:type="dcterms:W3CDTF">2022-06-06T20:58:44Z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0x0101008263DB6C0C03A442B06849EA87F1DA3B</vt:lpwstr>
  </property>
</Properties>
</file>